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PLANILH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2" l="1"/>
  <c r="E117" i="2" l="1"/>
  <c r="E114" i="2"/>
  <c r="M86" i="2"/>
  <c r="M88" i="2"/>
  <c r="K116" i="2"/>
  <c r="K115" i="2"/>
  <c r="E124" i="2"/>
  <c r="E136" i="2" s="1"/>
  <c r="E119" i="2"/>
  <c r="K119" i="2" s="1"/>
  <c r="E120" i="2"/>
  <c r="M22" i="2"/>
  <c r="M19" i="2"/>
  <c r="M132" i="2" l="1"/>
  <c r="M134" i="2" s="1"/>
  <c r="M21" i="2"/>
  <c r="F39" i="2"/>
  <c r="M101" i="2" l="1"/>
  <c r="M90" i="2"/>
  <c r="M15" i="2"/>
  <c r="M20" i="2" s="1"/>
  <c r="M151" i="2"/>
  <c r="M152" i="2" s="1"/>
  <c r="M130" i="2"/>
  <c r="F67" i="2"/>
  <c r="M67" i="2" s="1"/>
  <c r="K114" i="2" l="1"/>
  <c r="M27" i="2" l="1"/>
  <c r="F29" i="2"/>
  <c r="F28" i="2"/>
  <c r="F51" i="2" l="1"/>
  <c r="M71" i="2"/>
  <c r="M70" i="2"/>
  <c r="M53" i="2"/>
  <c r="M52" i="2"/>
  <c r="F49" i="2"/>
  <c r="M49" i="2" s="1"/>
  <c r="F27" i="2"/>
  <c r="M24" i="2"/>
  <c r="M17" i="2"/>
  <c r="M18" i="2" s="1"/>
  <c r="M23" i="2" l="1"/>
  <c r="K120" i="2"/>
  <c r="M119" i="2"/>
  <c r="E118" i="2"/>
  <c r="K118" i="2" s="1"/>
  <c r="K117" i="2"/>
  <c r="B160" i="2"/>
  <c r="H160" i="2"/>
  <c r="M167" i="2"/>
  <c r="F162" i="2" s="1"/>
  <c r="M44" i="2" l="1"/>
  <c r="M40" i="2" l="1"/>
  <c r="I43" i="2" l="1"/>
  <c r="M43" i="2" s="1"/>
  <c r="I42" i="2"/>
  <c r="M131" i="2"/>
  <c r="M135" i="2" l="1"/>
  <c r="M143" i="2"/>
  <c r="M144" i="2"/>
  <c r="M146" i="2" s="1"/>
  <c r="M142" i="2"/>
  <c r="M114" i="2"/>
  <c r="M115" i="2"/>
  <c r="M116" i="2"/>
  <c r="M117" i="2"/>
  <c r="M118" i="2"/>
  <c r="M120" i="2"/>
  <c r="H156" i="2"/>
  <c r="F107" i="2"/>
  <c r="M107" i="2" s="1"/>
  <c r="F106" i="2"/>
  <c r="M106" i="2" s="1"/>
  <c r="F105" i="2"/>
  <c r="M105" i="2" s="1"/>
  <c r="F104" i="2"/>
  <c r="M104" i="2" s="1"/>
  <c r="F103" i="2"/>
  <c r="M103" i="2" s="1"/>
  <c r="M51" i="2"/>
  <c r="M7" i="2"/>
  <c r="M8" i="2" s="1"/>
  <c r="B159" i="2"/>
  <c r="B158" i="2"/>
  <c r="B157" i="2"/>
  <c r="B156" i="2"/>
  <c r="B155" i="2"/>
  <c r="M98" i="2"/>
  <c r="M97" i="2"/>
  <c r="M96" i="2"/>
  <c r="M95" i="2"/>
  <c r="M94" i="2"/>
  <c r="M93" i="2"/>
  <c r="M92" i="2"/>
  <c r="M62" i="2"/>
  <c r="F57" i="2"/>
  <c r="F69" i="2" s="1"/>
  <c r="M68" i="2"/>
  <c r="M66" i="2"/>
  <c r="M58" i="2"/>
  <c r="M50" i="2"/>
  <c r="M48" i="2"/>
  <c r="M25" i="2"/>
  <c r="M30" i="2"/>
  <c r="I61" i="2" l="1"/>
  <c r="M61" i="2" s="1"/>
  <c r="I60" i="2"/>
  <c r="M60" i="2" s="1"/>
  <c r="M69" i="2"/>
  <c r="M31" i="2"/>
  <c r="F64" i="2" s="1"/>
  <c r="M42" i="2"/>
  <c r="M121" i="2"/>
  <c r="M99" i="2"/>
  <c r="M100" i="2" s="1"/>
  <c r="M108" i="2"/>
  <c r="M109" i="2" s="1"/>
  <c r="M122" i="2" l="1"/>
  <c r="H158" i="2" s="1"/>
  <c r="M147" i="2"/>
  <c r="M148" i="2" s="1"/>
  <c r="H159" i="2" s="1"/>
  <c r="M63" i="2"/>
  <c r="M64" i="2" s="1"/>
  <c r="M65" i="2" s="1"/>
  <c r="F46" i="2"/>
  <c r="M45" i="2"/>
  <c r="M110" i="2"/>
  <c r="H157" i="2" s="1"/>
  <c r="M46" i="2" l="1"/>
  <c r="M47" i="2" s="1"/>
  <c r="F54" i="2" s="1"/>
  <c r="F72" i="2"/>
  <c r="M72" i="2" s="1"/>
  <c r="M54" i="2" l="1"/>
  <c r="I74" i="2" s="1"/>
  <c r="I75" i="2"/>
  <c r="I76" i="2" l="1"/>
  <c r="H155" i="2" l="1"/>
  <c r="H161" i="2" s="1"/>
  <c r="H162" i="2" s="1"/>
  <c r="M75" i="2"/>
  <c r="M76" i="2"/>
  <c r="M74" i="2"/>
  <c r="H163" i="2" l="1"/>
  <c r="M155" i="2" s="1"/>
  <c r="M162" i="2" l="1"/>
  <c r="K173" i="2"/>
  <c r="K176" i="2" s="1"/>
  <c r="M161" i="2"/>
  <c r="M157" i="2"/>
  <c r="M160" i="2"/>
  <c r="M158" i="2"/>
  <c r="M156" i="2"/>
  <c r="M159" i="2"/>
  <c r="M163" i="2" l="1"/>
</calcChain>
</file>

<file path=xl/comments1.xml><?xml version="1.0" encoding="utf-8"?>
<comments xmlns="http://schemas.openxmlformats.org/spreadsheetml/2006/main">
  <authors>
    <author>Autor</author>
  </authors>
  <commentList>
    <comment ref="M6" authorId="0" shapeId="0">
      <text>
        <r>
          <rPr>
            <b/>
            <sz val="9"/>
            <color indexed="81"/>
            <rFont val="Segoe UI"/>
            <family val="2"/>
          </rPr>
          <t>O ano 2022 tem: 53 sábados. 52 domingos. 53 fins de semana.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7" authorId="0" shapeId="0">
      <text>
        <r>
          <rPr>
            <b/>
            <sz val="9"/>
            <color indexed="81"/>
            <rFont val="Segoe UI"/>
            <family val="2"/>
          </rPr>
          <t>1/12(Um salário/Doze Meses)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8" authorId="0" shapeId="0">
      <text>
        <r>
          <rPr>
            <b/>
            <sz val="9"/>
            <color indexed="81"/>
            <rFont val="Segoe UI"/>
            <family val="2"/>
          </rPr>
          <t>1/12(Um salário/Doze Meses)
+ 1/3 de Abono de Férias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9" authorId="0" shapeId="0">
      <text>
        <r>
          <rPr>
            <b/>
            <sz val="9"/>
            <color indexed="81"/>
            <rFont val="Segoe UI"/>
            <family val="2"/>
          </rPr>
          <t>1/12(Um salário/Doze Meses)</t>
        </r>
        <r>
          <rPr>
            <sz val="9"/>
            <color indexed="81"/>
            <rFont val="Segoe UI"/>
            <family val="2"/>
          </rPr>
          <t xml:space="preserve">
????</t>
        </r>
      </text>
    </comment>
    <comment ref="M20" authorId="0" shapeId="0">
      <text>
        <r>
          <rPr>
            <b/>
            <sz val="9"/>
            <color indexed="81"/>
            <rFont val="Segoe UI"/>
            <family val="2"/>
          </rPr>
          <t>Percentual de Incidência de Encargos Sociais x (1/12)(Um salário/Doze Meses)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Segoe UI"/>
            <family val="2"/>
          </rPr>
          <t>1/12(Um salário/Doze Meses) x Alíquota FGTS(8,0%) x % Multa(40,0%).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38" authorId="0" shapeId="0">
      <text>
        <r>
          <rPr>
            <sz val="9"/>
            <color indexed="81"/>
            <rFont val="Segoe UI"/>
            <family val="2"/>
          </rPr>
          <t xml:space="preserve">Nesse campo incluir o fator de utilização do funcionário nessa operação:
Exemplo: 
1 dias/semana = Fator 0,2
2 dias/semana = Fator 0,4
3 dias/semana = Fator 0,6
4 dias/semana = Fator 0,8
5 dias semana = Fator 1,0
</t>
        </r>
      </text>
    </comment>
    <comment ref="N56" authorId="0" shapeId="0">
      <text>
        <r>
          <rPr>
            <sz val="9"/>
            <color indexed="81"/>
            <rFont val="Segoe UI"/>
            <family val="2"/>
          </rPr>
          <t>Nesse campo incluir o fator de utilização do funcionário nessa operação:
Exemplo: 
1 dias/semana = Fator 0,2
2 dias/semana = Fator 0,4
3 dias/semana = Fator 0,6
4 dias/semana = Fator 0,8
5 dias semana = Fator 1,0</t>
        </r>
      </text>
    </comment>
    <comment ref="F112" authorId="0" shapeId="0">
      <text>
        <r>
          <rPr>
            <sz val="9"/>
            <color indexed="81"/>
            <rFont val="Segoe UI"/>
            <family val="2"/>
          </rPr>
          <t xml:space="preserve">
Nesse campo incluir o fator de utilização do </t>
        </r>
        <r>
          <rPr>
            <b/>
            <u/>
            <sz val="9"/>
            <color indexed="81"/>
            <rFont val="Segoe UI"/>
            <family val="2"/>
          </rPr>
          <t>veículo</t>
        </r>
        <r>
          <rPr>
            <sz val="9"/>
            <color indexed="81"/>
            <rFont val="Segoe UI"/>
            <family val="2"/>
          </rPr>
          <t xml:space="preserve"> nessa operação:
Exemplo: 
1 dias/semana = Fator 0,2
2 dias/semana = Fator 0,4
3 dias/semana = Fator 0,6
4 dias/semana = Fator 0,8
5 dias semana = Fator 1,0</t>
        </r>
      </text>
    </comment>
  </commentList>
</comments>
</file>

<file path=xl/sharedStrings.xml><?xml version="1.0" encoding="utf-8"?>
<sst xmlns="http://schemas.openxmlformats.org/spreadsheetml/2006/main" count="221" uniqueCount="174">
  <si>
    <t>Dados para Base de Cálculo</t>
  </si>
  <si>
    <t>Valor</t>
  </si>
  <si>
    <t>Salário base Motorista CBO 7825-10</t>
  </si>
  <si>
    <t>Salário base Coletor CBO 5142-05</t>
  </si>
  <si>
    <t>Salário Mínimo Nacional</t>
  </si>
  <si>
    <t>Quantidade de dias no ano</t>
  </si>
  <si>
    <t>Quantidade de domingos no ano</t>
  </si>
  <si>
    <t>Quantidade de dias uteis no ano</t>
  </si>
  <si>
    <t>Quantidade de dias uteis no mês</t>
  </si>
  <si>
    <t>Básicos</t>
  </si>
  <si>
    <t>6- INCRA</t>
  </si>
  <si>
    <t>4- SESI ou SESC</t>
  </si>
  <si>
    <t>2- FGTS</t>
  </si>
  <si>
    <t>1- INSS</t>
  </si>
  <si>
    <t>5- Seguro acidente do trabalho</t>
  </si>
  <si>
    <t>3- Salário Educação</t>
  </si>
  <si>
    <t>7- SEBRAE</t>
  </si>
  <si>
    <t>8- SENAI ou SENAC</t>
  </si>
  <si>
    <t>Dias</t>
  </si>
  <si>
    <t>Indenizatórios</t>
  </si>
  <si>
    <t>2- Férias</t>
  </si>
  <si>
    <t>1- 13º Salário</t>
  </si>
  <si>
    <t>3 - Aviso prévio indenizado</t>
  </si>
  <si>
    <t>6- Aviso prévio trabalhado</t>
  </si>
  <si>
    <t>Ausencia Legais</t>
  </si>
  <si>
    <t>1- Férias</t>
  </si>
  <si>
    <t>2- Ausencias Legais</t>
  </si>
  <si>
    <t>3- Ausencia acidente de trabalho</t>
  </si>
  <si>
    <t>4- Afast. Maternidade</t>
  </si>
  <si>
    <t>5- Licença Paternidade</t>
  </si>
  <si>
    <t>Total</t>
  </si>
  <si>
    <t xml:space="preserve">Total </t>
  </si>
  <si>
    <t>Descrição</t>
  </si>
  <si>
    <t>Quantidade</t>
  </si>
  <si>
    <r>
      <t xml:space="preserve">Quantidade </t>
    </r>
    <r>
      <rPr>
        <b/>
        <sz val="10"/>
        <color theme="1"/>
        <rFont val="Bookman Old Style"/>
        <family val="1"/>
      </rPr>
      <t>►</t>
    </r>
  </si>
  <si>
    <t>Salário  Calc. Insalubridade (R$)=</t>
  </si>
  <si>
    <t>Horas semanais=</t>
  </si>
  <si>
    <t>Valor Unitário</t>
  </si>
  <si>
    <t>Valor Total</t>
  </si>
  <si>
    <t>Encargos sociais (%) =</t>
  </si>
  <si>
    <t xml:space="preserve">Assistência Médica Familiar (R$)= </t>
  </si>
  <si>
    <t xml:space="preserve">Auxilio Alimentação (R$)= </t>
  </si>
  <si>
    <t xml:space="preserve">Fundo Assistencial (R$)= </t>
  </si>
  <si>
    <t xml:space="preserve">Vale Transporte (R$)= </t>
  </si>
  <si>
    <t xml:space="preserve">Seguro de Vida 2% (R$)= </t>
  </si>
  <si>
    <t>Total do Efetivo Mês =</t>
  </si>
  <si>
    <t>Custo Mensal do Motorista=</t>
  </si>
  <si>
    <t>Adicional de Insalubridade (%)=</t>
  </si>
  <si>
    <t xml:space="preserve">Horas Extras 50%= </t>
  </si>
  <si>
    <t xml:space="preserve">Horas Extras 100%= </t>
  </si>
  <si>
    <t>Salário Mensal (R$)=</t>
  </si>
  <si>
    <t>Horas mensais=</t>
  </si>
  <si>
    <t>Total sem encargos=</t>
  </si>
  <si>
    <t>Total de encargos=</t>
  </si>
  <si>
    <t>Total com encargos=</t>
  </si>
  <si>
    <t xml:space="preserve">Fundo Formaç. Profissional (R$)= </t>
  </si>
  <si>
    <t>Total de Mão de Obra Mensal</t>
  </si>
  <si>
    <t>Motorista CBO 7825-10</t>
  </si>
  <si>
    <t>Coletor CBO 5142-05</t>
  </si>
  <si>
    <t>Total Geral</t>
  </si>
  <si>
    <t>Percentual</t>
  </si>
  <si>
    <t>CUSTO COM COLETOR MENSAL</t>
  </si>
  <si>
    <t>CUSTO COM MOTORISTA MENSAL</t>
  </si>
  <si>
    <t>MÃO DE OBRA PARA PRESTAÇÃO DOS SERVIÇOS</t>
  </si>
  <si>
    <t>ENCARGOS SOCIAIS</t>
  </si>
  <si>
    <t>DESCRIÇÃO DO PERÍODO PARA PRESTAÇÃO DOS SERVIÇOS</t>
  </si>
  <si>
    <t>1- Aluguel</t>
  </si>
  <si>
    <t>2- Mobiliário</t>
  </si>
  <si>
    <t>3- Limpeza e conservação</t>
  </si>
  <si>
    <t>5- Material de expediente</t>
  </si>
  <si>
    <t>7- Equip. de segurança</t>
  </si>
  <si>
    <t>9- Treinamentos</t>
  </si>
  <si>
    <t>10- Ferramentas manuseio</t>
  </si>
  <si>
    <t>4- Equip. de escritório</t>
  </si>
  <si>
    <t>6- Materiais administrativos</t>
  </si>
  <si>
    <t>11- Mobilização e desmobilização</t>
  </si>
  <si>
    <t>12- Internet</t>
  </si>
  <si>
    <t>13- Consultoria contábil</t>
  </si>
  <si>
    <t>14- Honorários (Pró-Labore)</t>
  </si>
  <si>
    <t>15- Energia Elétrica</t>
  </si>
  <si>
    <t>16- Água e esgoto</t>
  </si>
  <si>
    <t>17- Telefone</t>
  </si>
  <si>
    <t>18- Licenças</t>
  </si>
  <si>
    <t>19- Responsável Técnico</t>
  </si>
  <si>
    <t>DESPESAS INDIRETAS (Valores estimados mensais)</t>
  </si>
  <si>
    <t>8- Atendende escritório</t>
  </si>
  <si>
    <t>UNIFORMES E EQUIPAMENTOS DE PROTEÇÃO INDIVIDUAL (EPI's)</t>
  </si>
  <si>
    <t>20 - Outras Desp. Indiretas</t>
  </si>
  <si>
    <t>Custo no mês</t>
  </si>
  <si>
    <t>1- Boné</t>
  </si>
  <si>
    <t>2- Calça de brim</t>
  </si>
  <si>
    <t>3- Calçado de sergurança</t>
  </si>
  <si>
    <t>4- Camisa manga longa</t>
  </si>
  <si>
    <t>5- Camiseta manga curta</t>
  </si>
  <si>
    <t>6- Capa de chuva</t>
  </si>
  <si>
    <t>V. Unitário</t>
  </si>
  <si>
    <t>Consumo anual</t>
  </si>
  <si>
    <t>Custo mensal por coletor =</t>
  </si>
  <si>
    <t>Custo mensal do efetivo =</t>
  </si>
  <si>
    <t>Quantidade ►</t>
  </si>
  <si>
    <t>Custo mensal por motorista =</t>
  </si>
  <si>
    <t>Total Geral Mão de Obra</t>
  </si>
  <si>
    <t>Total Geral de encargos</t>
  </si>
  <si>
    <t>MATERIAIS PARA MANUTENÇÃO MENSAL DA FROTA</t>
  </si>
  <si>
    <t>Custo Km Rodado</t>
  </si>
  <si>
    <t>Custo Mensal</t>
  </si>
  <si>
    <t>Preço Unitário</t>
  </si>
  <si>
    <t>Coeficiente</t>
  </si>
  <si>
    <t>Material</t>
  </si>
  <si>
    <t>1- Combustível Diesel S-10</t>
  </si>
  <si>
    <t>2- Fluidos Hidráulico</t>
  </si>
  <si>
    <t>3- Higienização</t>
  </si>
  <si>
    <t>4- Licenc.+IPVA+Seg.Obrig.+RCO</t>
  </si>
  <si>
    <t>5- Lubrificantes</t>
  </si>
  <si>
    <t>6- Pneus</t>
  </si>
  <si>
    <t>7- Recapagem pneus</t>
  </si>
  <si>
    <t>Custo por Quilômetro rodado =</t>
  </si>
  <si>
    <t>EQUIPAMENTOS CAMINHÃO E COMPACTADOR</t>
  </si>
  <si>
    <t>Vida útil (meses) =</t>
  </si>
  <si>
    <t>Valor residual (%) =</t>
  </si>
  <si>
    <t xml:space="preserve">Custo da depreciação mensal (R$) = </t>
  </si>
  <si>
    <t>Custo mensal do valor investido (R$) =</t>
  </si>
  <si>
    <t>Custo mensal do capital (R$) =</t>
  </si>
  <si>
    <t>Custo mensal (R$) =</t>
  </si>
  <si>
    <t>FORMAÇÃO DO PREÇO BASE MENSAL</t>
  </si>
  <si>
    <t>Descrição do Módulo</t>
  </si>
  <si>
    <t>Valor Mensal</t>
  </si>
  <si>
    <t>Total Uniformes e Equipamentos de Segurança</t>
  </si>
  <si>
    <t>Total Despesas Indiretas</t>
  </si>
  <si>
    <t>Total Manutenção Mensal da Frota</t>
  </si>
  <si>
    <t>Total do Custo Mensal da Frota</t>
  </si>
  <si>
    <t>Total dos Custos</t>
  </si>
  <si>
    <t>Percentuais sobre o total %</t>
  </si>
  <si>
    <t>1- IRRJ</t>
  </si>
  <si>
    <t>2- PIS</t>
  </si>
  <si>
    <t>3- COFINS</t>
  </si>
  <si>
    <t>4- ISS</t>
  </si>
  <si>
    <t>5- CSLL</t>
  </si>
  <si>
    <t>VALOR FINAL MENSAL</t>
  </si>
  <si>
    <t>VALOR ANUAL</t>
  </si>
  <si>
    <t>Custo unitário médio do caminhão (R$) =</t>
  </si>
  <si>
    <t>Custo unitário médio do equipamento (R$) =</t>
  </si>
  <si>
    <t>Resultado BDI</t>
  </si>
  <si>
    <t>AC - Administração Central</t>
  </si>
  <si>
    <t>SRG-Seguros/Riscos/Garantias</t>
  </si>
  <si>
    <t>L - Lucro</t>
  </si>
  <si>
    <t>DF - Despesas Financeiras</t>
  </si>
  <si>
    <t>i - Taxa SELIC</t>
  </si>
  <si>
    <t>Resultado do cálculo de BDI</t>
  </si>
  <si>
    <t>Soma dos tributos</t>
  </si>
  <si>
    <t>Adicional de Insalubridade (40%)=</t>
  </si>
  <si>
    <t xml:space="preserve">luva anti corte </t>
  </si>
  <si>
    <t>Número de Veículos/Fator►</t>
  </si>
  <si>
    <t>Custo do capital (taxa selic 13.25% a.a) =</t>
  </si>
  <si>
    <t>Total do Custo Mensal de Destinação</t>
  </si>
  <si>
    <t>Quantidade / Fator (Motorista)</t>
  </si>
  <si>
    <t>Quantidade / Fator (Coletor)</t>
  </si>
  <si>
    <t>5- Multa do FGTS sobre o aviso prévio indenizado</t>
  </si>
  <si>
    <t>4- Incidencia de Encargos de FGTS e INSS sobre o aviso prévio indenizado</t>
  </si>
  <si>
    <t>7- Incidencia de Encargos de FGTS e INSS sobre o aviso prévio trabalhado</t>
  </si>
  <si>
    <t>8- Multa do FGTS sobre o aviso prévio trabalhado</t>
  </si>
  <si>
    <t>Custo Mensal do Coletor =</t>
  </si>
  <si>
    <t>Fator de manutenção corretiva (% do valor do equipamento) =</t>
  </si>
  <si>
    <t>Custo total de manutenção corretiva (R$) =</t>
  </si>
  <si>
    <t>Número de Coletor Chassi /Fator►</t>
  </si>
  <si>
    <t>Número de Caixa Compact. /Fator►</t>
  </si>
  <si>
    <t xml:space="preserve">Ajuda de Custos (R$)= </t>
  </si>
  <si>
    <t>DU - Dias úteis coletados</t>
  </si>
  <si>
    <t>Média de distância percorrida no mês►</t>
  </si>
  <si>
    <t>DESTINAÇÃO</t>
  </si>
  <si>
    <t>Toneladas/Mês</t>
  </si>
  <si>
    <t>Valor R$/Ton.</t>
  </si>
  <si>
    <t>Fator</t>
  </si>
  <si>
    <t>PLANILHA COLETA, DESTINAÇÃO LIXO ORGÂNICO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</si>
</sst>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-&quot;R$&quot;* #,##0.00_-;\-&quot;R$&quot;* #,##0.00_-;_-&quot;R$&quot;* &quot;-&quot;??_-;_-@_-"/>
    <numFmt numFmtId="167" formatCode="0.0%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166" fontId="2" fillId="0" borderId="0" xfId="1" applyFont="1" applyAlignment="1"/>
    <xf numFmtId="166" fontId="2" fillId="0" borderId="1" xfId="0" applyNumberFormat="1" applyFont="1" applyBorder="1"/>
    <xf numFmtId="9" fontId="2" fillId="0" borderId="0" xfId="2" applyFont="1" applyAlignme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6" borderId="8" xfId="0" applyFont="1" applyFill="1" applyBorder="1"/>
    <xf numFmtId="0" fontId="2" fillId="4" borderId="5" xfId="0" applyFont="1" applyFill="1" applyBorder="1" applyAlignment="1">
      <alignment horizontal="center"/>
    </xf>
    <xf numFmtId="166" fontId="2" fillId="0" borderId="19" xfId="0" applyNumberFormat="1" applyFont="1" applyBorder="1"/>
    <xf numFmtId="0" fontId="2" fillId="4" borderId="12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9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2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5" fillId="0" borderId="8" xfId="0" applyFont="1" applyBorder="1"/>
    <xf numFmtId="10" fontId="2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0" fontId="3" fillId="6" borderId="8" xfId="0" applyFont="1" applyFill="1" applyBorder="1" applyAlignment="1">
      <alignment horizontal="right"/>
    </xf>
    <xf numFmtId="10" fontId="3" fillId="6" borderId="9" xfId="2" applyNumberFormat="1" applyFont="1" applyFill="1" applyBorder="1" applyAlignment="1">
      <alignment horizontal="left"/>
    </xf>
    <xf numFmtId="10" fontId="2" fillId="8" borderId="1" xfId="3" applyNumberFormat="1" applyFont="1" applyFill="1" applyBorder="1" applyAlignment="1">
      <alignment horizontal="left" indent="2"/>
    </xf>
    <xf numFmtId="0" fontId="2" fillId="8" borderId="4" xfId="0" applyFont="1" applyFill="1" applyBorder="1" applyAlignment="1">
      <alignment horizontal="center"/>
    </xf>
    <xf numFmtId="0" fontId="2" fillId="8" borderId="3" xfId="0" applyFont="1" applyFill="1" applyBorder="1"/>
    <xf numFmtId="0" fontId="2" fillId="8" borderId="11" xfId="0" applyFont="1" applyFill="1" applyBorder="1" applyAlignment="1">
      <alignment horizontal="center"/>
    </xf>
    <xf numFmtId="0" fontId="2" fillId="8" borderId="5" xfId="0" applyFont="1" applyFill="1" applyBorder="1"/>
    <xf numFmtId="0" fontId="2" fillId="8" borderId="6" xfId="0" applyFont="1" applyFill="1" applyBorder="1" applyAlignment="1">
      <alignment horizontal="center"/>
    </xf>
    <xf numFmtId="0" fontId="2" fillId="8" borderId="0" xfId="0" applyFont="1" applyFill="1"/>
    <xf numFmtId="0" fontId="2" fillId="8" borderId="10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66" fontId="2" fillId="8" borderId="2" xfId="1" applyFont="1" applyFill="1" applyBorder="1" applyAlignment="1">
      <alignment horizontal="center"/>
    </xf>
    <xf numFmtId="166" fontId="2" fillId="8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6" fontId="2" fillId="0" borderId="2" xfId="1" applyFont="1" applyBorder="1" applyAlignment="1">
      <alignment horizontal="center"/>
    </xf>
    <xf numFmtId="166" fontId="2" fillId="0" borderId="4" xfId="1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0" fontId="2" fillId="8" borderId="2" xfId="1" applyNumberFormat="1" applyFont="1" applyFill="1" applyBorder="1" applyAlignment="1">
      <alignment horizontal="center"/>
    </xf>
    <xf numFmtId="10" fontId="2" fillId="8" borderId="4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0" fontId="3" fillId="0" borderId="7" xfId="1" applyNumberFormat="1" applyFont="1" applyFill="1" applyBorder="1" applyAlignment="1">
      <alignment horizontal="center"/>
    </xf>
    <xf numFmtId="10" fontId="3" fillId="0" borderId="9" xfId="1" applyNumberFormat="1" applyFont="1" applyFill="1" applyBorder="1" applyAlignment="1">
      <alignment horizontal="center"/>
    </xf>
    <xf numFmtId="10" fontId="2" fillId="8" borderId="10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166" fontId="2" fillId="8" borderId="10" xfId="1" applyFont="1" applyFill="1" applyBorder="1" applyAlignment="1">
      <alignment horizontal="center"/>
    </xf>
    <xf numFmtId="166" fontId="2" fillId="8" borderId="1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2" fillId="8" borderId="2" xfId="0" applyNumberFormat="1" applyFont="1" applyFill="1" applyBorder="1" applyAlignment="1">
      <alignment horizontal="center"/>
    </xf>
    <xf numFmtId="10" fontId="2" fillId="8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10" fontId="2" fillId="8" borderId="10" xfId="1" applyNumberFormat="1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0" fontId="6" fillId="8" borderId="2" xfId="0" applyNumberFormat="1" applyFont="1" applyFill="1" applyBorder="1" applyAlignment="1">
      <alignment horizontal="center"/>
    </xf>
    <xf numFmtId="10" fontId="6" fillId="8" borderId="4" xfId="0" applyNumberFormat="1" applyFont="1" applyFill="1" applyBorder="1" applyAlignment="1">
      <alignment horizontal="center"/>
    </xf>
    <xf numFmtId="1" fontId="6" fillId="8" borderId="2" xfId="1" applyNumberFormat="1" applyFont="1" applyFill="1" applyBorder="1" applyAlignment="1">
      <alignment horizontal="center"/>
    </xf>
    <xf numFmtId="1" fontId="6" fillId="8" borderId="4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0" fontId="5" fillId="0" borderId="8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6" fontId="2" fillId="0" borderId="1" xfId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10" fontId="3" fillId="6" borderId="13" xfId="1" applyNumberFormat="1" applyFont="1" applyFill="1" applyBorder="1" applyAlignment="1">
      <alignment horizontal="center"/>
    </xf>
    <xf numFmtId="10" fontId="3" fillId="6" borderId="15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66" fontId="2" fillId="8" borderId="2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166" fontId="2" fillId="8" borderId="7" xfId="1" applyFont="1" applyFill="1" applyBorder="1" applyAlignment="1">
      <alignment horizontal="center"/>
    </xf>
    <xf numFmtId="166" fontId="2" fillId="8" borderId="9" xfId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3" fillId="0" borderId="0" xfId="1" applyFont="1" applyFill="1" applyBorder="1" applyAlignment="1">
      <alignment horizontal="center"/>
    </xf>
    <xf numFmtId="166" fontId="2" fillId="0" borderId="3" xfId="1" applyFont="1" applyFill="1" applyBorder="1" applyAlignment="1">
      <alignment horizontal="center"/>
    </xf>
    <xf numFmtId="166" fontId="2" fillId="0" borderId="4" xfId="1" applyFont="1" applyFill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6" fontId="3" fillId="0" borderId="7" xfId="1" applyFont="1" applyFill="1" applyBorder="1" applyAlignment="1">
      <alignment horizontal="center"/>
    </xf>
    <xf numFmtId="166" fontId="3" fillId="0" borderId="9" xfId="1" applyFont="1" applyFill="1" applyBorder="1" applyAlignment="1">
      <alignment horizontal="center"/>
    </xf>
    <xf numFmtId="9" fontId="2" fillId="8" borderId="2" xfId="0" applyNumberFormat="1" applyFont="1" applyFill="1" applyBorder="1" applyAlignment="1">
      <alignment horizontal="center"/>
    </xf>
    <xf numFmtId="0" fontId="2" fillId="0" borderId="0" xfId="0" applyFont="1"/>
    <xf numFmtId="166" fontId="3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6" fontId="3" fillId="0" borderId="2" xfId="1" applyFont="1" applyBorder="1" applyAlignment="1">
      <alignment horizontal="center"/>
    </xf>
    <xf numFmtId="166" fontId="3" fillId="0" borderId="4" xfId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2" fillId="0" borderId="10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10" fontId="3" fillId="6" borderId="7" xfId="2" applyNumberFormat="1" applyFont="1" applyFill="1" applyBorder="1" applyAlignment="1">
      <alignment horizontal="center"/>
    </xf>
    <xf numFmtId="10" fontId="3" fillId="6" borderId="9" xfId="2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166" fontId="3" fillId="6" borderId="8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6" fontId="2" fillId="8" borderId="3" xfId="1" applyFont="1" applyFill="1" applyBorder="1" applyAlignment="1">
      <alignment horizontal="center"/>
    </xf>
    <xf numFmtId="3" fontId="2" fillId="8" borderId="0" xfId="0" applyNumberFormat="1" applyFont="1" applyFill="1" applyAlignment="1">
      <alignment horizontal="center"/>
    </xf>
    <xf numFmtId="3" fontId="2" fillId="8" borderId="6" xfId="0" applyNumberFormat="1" applyFont="1" applyFill="1" applyBorder="1" applyAlignment="1">
      <alignment horizontal="center"/>
    </xf>
    <xf numFmtId="166" fontId="3" fillId="6" borderId="7" xfId="1" applyFont="1" applyFill="1" applyBorder="1" applyAlignment="1">
      <alignment horizontal="center"/>
    </xf>
    <xf numFmtId="166" fontId="3" fillId="6" borderId="9" xfId="1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166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8" fontId="2" fillId="8" borderId="2" xfId="0" applyNumberFormat="1" applyFont="1" applyFill="1" applyBorder="1" applyAlignment="1">
      <alignment horizontal="center"/>
    </xf>
    <xf numFmtId="168" fontId="2" fillId="8" borderId="4" xfId="0" applyNumberFormat="1" applyFont="1" applyFill="1" applyBorder="1" applyAlignment="1">
      <alignment horizontal="center"/>
    </xf>
    <xf numFmtId="166" fontId="2" fillId="8" borderId="2" xfId="1" applyFont="1" applyFill="1" applyBorder="1" applyAlignment="1">
      <alignment horizontal="center" wrapText="1"/>
    </xf>
    <xf numFmtId="166" fontId="2" fillId="8" borderId="4" xfId="1" applyFont="1" applyFill="1" applyBorder="1" applyAlignment="1">
      <alignment horizontal="center" wrapText="1"/>
    </xf>
    <xf numFmtId="166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68" fontId="2" fillId="8" borderId="10" xfId="0" applyNumberFormat="1" applyFont="1" applyFill="1" applyBorder="1" applyAlignment="1">
      <alignment horizontal="center"/>
    </xf>
    <xf numFmtId="168" fontId="2" fillId="8" borderId="11" xfId="0" applyNumberFormat="1" applyFont="1" applyFill="1" applyBorder="1" applyAlignment="1">
      <alignment horizontal="center"/>
    </xf>
    <xf numFmtId="166" fontId="2" fillId="8" borderId="10" xfId="1" applyFont="1" applyFill="1" applyBorder="1" applyAlignment="1">
      <alignment horizontal="center" wrapText="1"/>
    </xf>
    <xf numFmtId="166" fontId="2" fillId="8" borderId="11" xfId="1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9" fontId="2" fillId="8" borderId="2" xfId="2" applyFont="1" applyFill="1" applyBorder="1" applyAlignment="1">
      <alignment horizontal="center"/>
    </xf>
    <xf numFmtId="9" fontId="2" fillId="8" borderId="4" xfId="2" applyFont="1" applyFill="1" applyBorder="1" applyAlignment="1">
      <alignment horizontal="center"/>
    </xf>
    <xf numFmtId="9" fontId="2" fillId="8" borderId="4" xfId="0" applyNumberFormat="1" applyFont="1" applyFill="1" applyBorder="1" applyAlignment="1">
      <alignment horizontal="center"/>
    </xf>
    <xf numFmtId="166" fontId="2" fillId="0" borderId="2" xfId="1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6" fontId="3" fillId="6" borderId="2" xfId="1" applyFont="1" applyFill="1" applyBorder="1" applyAlignment="1">
      <alignment horizontal="center"/>
    </xf>
    <xf numFmtId="166" fontId="3" fillId="6" borderId="4" xfId="1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6" fontId="3" fillId="8" borderId="7" xfId="1" applyFont="1" applyFill="1" applyBorder="1" applyAlignment="1">
      <alignment horizontal="center"/>
    </xf>
    <xf numFmtId="166" fontId="3" fillId="8" borderId="9" xfId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67" fontId="3" fillId="0" borderId="2" xfId="2" applyNumberFormat="1" applyFont="1" applyFill="1" applyBorder="1" applyAlignment="1">
      <alignment horizontal="center"/>
    </xf>
    <xf numFmtId="167" fontId="3" fillId="0" borderId="4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6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7" fontId="2" fillId="0" borderId="2" xfId="2" applyNumberFormat="1" applyFont="1" applyFill="1" applyBorder="1" applyAlignment="1">
      <alignment horizontal="center"/>
    </xf>
    <xf numFmtId="167" fontId="2" fillId="0" borderId="4" xfId="2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8" borderId="33" xfId="1" applyNumberFormat="1" applyFont="1" applyFill="1" applyBorder="1" applyAlignment="1">
      <alignment horizontal="center"/>
    </xf>
    <xf numFmtId="0" fontId="2" fillId="8" borderId="34" xfId="1" applyNumberFormat="1" applyFont="1" applyFill="1" applyBorder="1" applyAlignment="1">
      <alignment horizontal="center"/>
    </xf>
    <xf numFmtId="0" fontId="2" fillId="8" borderId="25" xfId="1" applyNumberFormat="1" applyFont="1" applyFill="1" applyBorder="1" applyAlignment="1">
      <alignment horizontal="center"/>
    </xf>
    <xf numFmtId="0" fontId="2" fillId="8" borderId="27" xfId="1" applyNumberFormat="1" applyFont="1" applyFill="1" applyBorder="1" applyAlignment="1">
      <alignment horizontal="center"/>
    </xf>
    <xf numFmtId="0" fontId="2" fillId="8" borderId="4" xfId="1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5" xfId="1" applyNumberFormat="1" applyFont="1" applyFill="1" applyBorder="1" applyAlignment="1">
      <alignment horizontal="center"/>
    </xf>
    <xf numFmtId="0" fontId="2" fillId="0" borderId="27" xfId="1" applyNumberFormat="1" applyFont="1" applyFill="1" applyBorder="1" applyAlignment="1">
      <alignment horizontal="center"/>
    </xf>
    <xf numFmtId="2" fontId="2" fillId="0" borderId="28" xfId="1" applyNumberFormat="1" applyFont="1" applyFill="1" applyBorder="1" applyAlignment="1">
      <alignment horizontal="center"/>
    </xf>
    <xf numFmtId="2" fontId="2" fillId="0" borderId="30" xfId="1" applyNumberFormat="1" applyFont="1" applyFill="1" applyBorder="1" applyAlignment="1">
      <alignment horizontal="center"/>
    </xf>
    <xf numFmtId="166" fontId="2" fillId="8" borderId="5" xfId="1" applyFont="1" applyFill="1" applyBorder="1" applyAlignment="1">
      <alignment horizontal="center"/>
    </xf>
    <xf numFmtId="0" fontId="4" fillId="4" borderId="13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6" xfId="0" applyFont="1" applyFill="1" applyBorder="1" applyAlignment="1">
      <alignment horizontal="center"/>
    </xf>
    <xf numFmtId="166" fontId="2" fillId="0" borderId="10" xfId="1" applyFont="1" applyBorder="1" applyAlignment="1">
      <alignment horizontal="center"/>
    </xf>
    <xf numFmtId="166" fontId="2" fillId="0" borderId="11" xfId="1" applyFont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166" fontId="3" fillId="6" borderId="20" xfId="1" applyFont="1" applyFill="1" applyBorder="1" applyAlignment="1">
      <alignment horizontal="center"/>
    </xf>
    <xf numFmtId="166" fontId="3" fillId="6" borderId="0" xfId="1" applyFont="1" applyFill="1" applyBorder="1" applyAlignment="1">
      <alignment horizontal="center"/>
    </xf>
    <xf numFmtId="166" fontId="3" fillId="6" borderId="21" xfId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10" fontId="6" fillId="8" borderId="2" xfId="1" applyNumberFormat="1" applyFont="1" applyFill="1" applyBorder="1" applyAlignment="1">
      <alignment horizontal="center"/>
    </xf>
    <xf numFmtId="0" fontId="6" fillId="8" borderId="4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10" fontId="5" fillId="8" borderId="2" xfId="1" applyNumberFormat="1" applyFont="1" applyFill="1" applyBorder="1" applyAlignment="1">
      <alignment horizontal="center"/>
    </xf>
    <xf numFmtId="0" fontId="5" fillId="8" borderId="4" xfId="1" applyNumberFormat="1" applyFont="1" applyFill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5" fillId="8" borderId="2" xfId="2" applyNumberFormat="1" applyFont="1" applyFill="1" applyBorder="1" applyAlignment="1">
      <alignment horizontal="center"/>
    </xf>
    <xf numFmtId="10" fontId="5" fillId="8" borderId="4" xfId="2" applyNumberFormat="1" applyFont="1" applyFill="1" applyBorder="1" applyAlignment="1">
      <alignment horizontal="center"/>
    </xf>
    <xf numFmtId="10" fontId="6" fillId="8" borderId="4" xfId="1" applyNumberFormat="1" applyFont="1" applyFill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6" fillId="8" borderId="10" xfId="1" applyNumberFormat="1" applyFont="1" applyFill="1" applyBorder="1" applyAlignment="1">
      <alignment horizontal="center"/>
    </xf>
    <xf numFmtId="10" fontId="6" fillId="8" borderId="11" xfId="1" applyNumberFormat="1" applyFont="1" applyFill="1" applyBorder="1" applyAlignment="1">
      <alignment horizontal="center"/>
    </xf>
    <xf numFmtId="166" fontId="3" fillId="7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0" fontId="6" fillId="8" borderId="10" xfId="0" applyNumberFormat="1" applyFont="1" applyFill="1" applyBorder="1" applyAlignment="1">
      <alignment horizontal="center"/>
    </xf>
    <xf numFmtId="10" fontId="6" fillId="8" borderId="11" xfId="0" applyNumberFormat="1" applyFont="1" applyFill="1" applyBorder="1" applyAlignment="1">
      <alignment horizontal="center"/>
    </xf>
    <xf numFmtId="167" fontId="2" fillId="0" borderId="10" xfId="2" applyNumberFormat="1" applyFont="1" applyFill="1" applyBorder="1" applyAlignment="1">
      <alignment horizontal="center"/>
    </xf>
    <xf numFmtId="167" fontId="2" fillId="0" borderId="11" xfId="2" applyNumberFormat="1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77"/>
  <sheetViews>
    <sheetView showGridLines="0" tabSelected="1" topLeftCell="A91" zoomScale="94" zoomScaleNormal="85" workbookViewId="0">
      <selection activeCell="M113" sqref="M113:N113"/>
    </sheetView>
  </sheetViews>
  <sheetFormatPr defaultColWidth="9.140625" defaultRowHeight="15" x14ac:dyDescent="0.3"/>
  <cols>
    <col min="1" max="1" width="3.85546875" style="1" customWidth="1"/>
    <col min="2" max="2" width="12.5703125" style="1" customWidth="1"/>
    <col min="3" max="3" width="9.140625" style="1"/>
    <col min="4" max="4" width="13.85546875" style="1" customWidth="1"/>
    <col min="5" max="5" width="2.5703125" style="1" customWidth="1"/>
    <col min="6" max="6" width="10.7109375" style="1" bestFit="1" customWidth="1"/>
    <col min="7" max="7" width="5.28515625" style="1" customWidth="1"/>
    <col min="8" max="8" width="2.5703125" style="1" customWidth="1"/>
    <col min="9" max="9" width="13.42578125" style="1" customWidth="1"/>
    <col min="10" max="10" width="2.42578125" style="1" customWidth="1"/>
    <col min="11" max="11" width="19.5703125" style="1" customWidth="1"/>
    <col min="12" max="12" width="1.5703125" style="1" customWidth="1"/>
    <col min="13" max="13" width="9.140625" style="1"/>
    <col min="14" max="14" width="8.140625" style="1" customWidth="1"/>
    <col min="15" max="15" width="15.28515625" style="1" bestFit="1" customWidth="1"/>
    <col min="16" max="16384" width="9.140625" style="1"/>
  </cols>
  <sheetData>
    <row r="1" spans="2:14" x14ac:dyDescent="0.3">
      <c r="B1" s="71" t="s">
        <v>173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4" ht="13.9" customHeight="1" thickBot="1" x14ac:dyDescent="0.3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9.149999999999999" customHeight="1" thickBot="1" x14ac:dyDescent="0.35">
      <c r="B3" s="125" t="s">
        <v>65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2:14" ht="19.149999999999999" customHeight="1" thickBot="1" x14ac:dyDescent="0.35">
      <c r="B4" s="67" t="s">
        <v>0</v>
      </c>
      <c r="C4" s="68"/>
      <c r="D4" s="68"/>
      <c r="E4" s="68"/>
      <c r="F4" s="68"/>
      <c r="G4" s="68"/>
      <c r="H4" s="68"/>
      <c r="I4" s="68"/>
      <c r="J4" s="68"/>
      <c r="K4" s="69"/>
      <c r="L4" s="2"/>
      <c r="M4" s="67" t="s">
        <v>18</v>
      </c>
      <c r="N4" s="69"/>
    </row>
    <row r="5" spans="2:14" ht="19.149999999999999" customHeight="1" x14ac:dyDescent="0.3">
      <c r="B5" s="216" t="s">
        <v>5</v>
      </c>
      <c r="C5" s="99"/>
      <c r="D5" s="99"/>
      <c r="E5" s="99"/>
      <c r="F5" s="99"/>
      <c r="G5" s="99"/>
      <c r="H5" s="99"/>
      <c r="I5" s="99"/>
      <c r="J5" s="99"/>
      <c r="K5" s="217"/>
      <c r="L5" s="2"/>
      <c r="M5" s="218">
        <v>365</v>
      </c>
      <c r="N5" s="219"/>
    </row>
    <row r="6" spans="2:14" ht="19.149999999999999" customHeight="1" x14ac:dyDescent="0.3">
      <c r="B6" s="43" t="s">
        <v>6</v>
      </c>
      <c r="C6" s="44"/>
      <c r="D6" s="44"/>
      <c r="E6" s="44"/>
      <c r="F6" s="44"/>
      <c r="G6" s="44"/>
      <c r="H6" s="44"/>
      <c r="I6" s="44"/>
      <c r="J6" s="44"/>
      <c r="K6" s="45"/>
      <c r="L6" s="2"/>
      <c r="M6" s="220">
        <v>52</v>
      </c>
      <c r="N6" s="221"/>
    </row>
    <row r="7" spans="2:14" ht="19.149999999999999" customHeight="1" x14ac:dyDescent="0.3">
      <c r="B7" s="43" t="s">
        <v>7</v>
      </c>
      <c r="C7" s="44"/>
      <c r="D7" s="44"/>
      <c r="E7" s="44"/>
      <c r="F7" s="44"/>
      <c r="G7" s="44"/>
      <c r="H7" s="44"/>
      <c r="I7" s="44"/>
      <c r="J7" s="44"/>
      <c r="K7" s="45"/>
      <c r="L7" s="2"/>
      <c r="M7" s="226">
        <f>M5-M6</f>
        <v>313</v>
      </c>
      <c r="N7" s="227"/>
    </row>
    <row r="8" spans="2:14" ht="19.149999999999999" customHeight="1" thickBot="1" x14ac:dyDescent="0.35">
      <c r="B8" s="82" t="s">
        <v>8</v>
      </c>
      <c r="C8" s="83"/>
      <c r="D8" s="83"/>
      <c r="E8" s="83"/>
      <c r="F8" s="83"/>
      <c r="G8" s="83"/>
      <c r="H8" s="83"/>
      <c r="I8" s="83"/>
      <c r="J8" s="83"/>
      <c r="K8" s="84"/>
      <c r="L8" s="2"/>
      <c r="M8" s="228">
        <f>M7/12</f>
        <v>26.083333333333332</v>
      </c>
      <c r="N8" s="229"/>
    </row>
    <row r="9" spans="2:14" ht="19.149999999999999" customHeight="1" thickBot="1" x14ac:dyDescent="0.35">
      <c r="B9" s="125" t="s">
        <v>64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2:14" ht="19.149999999999999" customHeight="1" thickBot="1" x14ac:dyDescent="0.35">
      <c r="B10" s="67" t="s">
        <v>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2:14" ht="19.149999999999999" customHeight="1" x14ac:dyDescent="0.3">
      <c r="B11" s="223" t="s">
        <v>13</v>
      </c>
      <c r="C11" s="224"/>
      <c r="D11" s="225"/>
      <c r="F11" s="65">
        <v>0.2</v>
      </c>
      <c r="G11" s="66"/>
      <c r="I11" s="223" t="s">
        <v>12</v>
      </c>
      <c r="J11" s="224"/>
      <c r="K11" s="225"/>
      <c r="L11" s="2"/>
      <c r="M11" s="85">
        <v>0.08</v>
      </c>
      <c r="N11" s="86"/>
    </row>
    <row r="12" spans="2:14" ht="19.149999999999999" customHeight="1" x14ac:dyDescent="0.3">
      <c r="B12" s="43" t="s">
        <v>15</v>
      </c>
      <c r="C12" s="44"/>
      <c r="D12" s="45"/>
      <c r="F12" s="77">
        <v>2.5000000000000001E-2</v>
      </c>
      <c r="G12" s="54"/>
      <c r="I12" s="43" t="s">
        <v>11</v>
      </c>
      <c r="J12" s="44"/>
      <c r="K12" s="45"/>
      <c r="L12" s="2"/>
      <c r="M12" s="55">
        <v>1.4999999999999999E-2</v>
      </c>
      <c r="N12" s="222"/>
    </row>
    <row r="13" spans="2:14" ht="19.149999999999999" customHeight="1" x14ac:dyDescent="0.3">
      <c r="B13" s="43" t="s">
        <v>14</v>
      </c>
      <c r="C13" s="44"/>
      <c r="D13" s="45"/>
      <c r="F13" s="77">
        <v>0.03</v>
      </c>
      <c r="G13" s="78"/>
      <c r="I13" s="43" t="s">
        <v>10</v>
      </c>
      <c r="J13" s="44"/>
      <c r="K13" s="45"/>
      <c r="L13" s="2"/>
      <c r="M13" s="55">
        <v>2E-3</v>
      </c>
      <c r="N13" s="222"/>
    </row>
    <row r="14" spans="2:14" ht="19.149999999999999" customHeight="1" thickBot="1" x14ac:dyDescent="0.35">
      <c r="B14" s="43" t="s">
        <v>16</v>
      </c>
      <c r="C14" s="44"/>
      <c r="D14" s="45"/>
      <c r="F14" s="77">
        <v>6.0000000000000001E-3</v>
      </c>
      <c r="G14" s="54"/>
      <c r="I14" s="43" t="s">
        <v>17</v>
      </c>
      <c r="J14" s="44"/>
      <c r="K14" s="45"/>
      <c r="L14" s="2"/>
      <c r="M14" s="55">
        <v>0.01</v>
      </c>
      <c r="N14" s="56"/>
    </row>
    <row r="15" spans="2:14" ht="19.149999999999999" customHeight="1" thickBot="1" x14ac:dyDescent="0.35">
      <c r="B15" s="107" t="s">
        <v>31</v>
      </c>
      <c r="C15" s="108"/>
      <c r="D15" s="108"/>
      <c r="E15" s="108"/>
      <c r="F15" s="108"/>
      <c r="G15" s="108"/>
      <c r="H15" s="108"/>
      <c r="I15" s="108"/>
      <c r="J15" s="108"/>
      <c r="K15" s="109"/>
      <c r="L15" s="2"/>
      <c r="M15" s="110">
        <f>SUM(F11:G14,M11:N14)</f>
        <v>0.36800000000000005</v>
      </c>
      <c r="N15" s="111"/>
    </row>
    <row r="16" spans="2:14" ht="19.149999999999999" customHeight="1" thickBot="1" x14ac:dyDescent="0.35">
      <c r="B16" s="67" t="s">
        <v>19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2:16" ht="19.149999999999999" customHeight="1" x14ac:dyDescent="0.3">
      <c r="B17" s="57" t="s">
        <v>21</v>
      </c>
      <c r="C17" s="58"/>
      <c r="D17" s="58"/>
      <c r="E17" s="58"/>
      <c r="F17" s="58"/>
      <c r="G17" s="58"/>
      <c r="H17" s="58"/>
      <c r="I17" s="58"/>
      <c r="J17" s="58"/>
      <c r="K17" s="59"/>
      <c r="L17" s="2"/>
      <c r="M17" s="85">
        <f>1/12</f>
        <v>8.3333333333333329E-2</v>
      </c>
      <c r="N17" s="86"/>
    </row>
    <row r="18" spans="2:16" ht="19.149999999999999" customHeight="1" x14ac:dyDescent="0.3">
      <c r="B18" s="48" t="s">
        <v>20</v>
      </c>
      <c r="C18" s="49"/>
      <c r="D18" s="49"/>
      <c r="E18" s="49"/>
      <c r="F18" s="49"/>
      <c r="G18" s="49"/>
      <c r="H18" s="49"/>
      <c r="I18" s="49"/>
      <c r="J18" s="49"/>
      <c r="K18" s="50"/>
      <c r="L18" s="2"/>
      <c r="M18" s="55">
        <f>M17+M17/3</f>
        <v>0.1111111111111111</v>
      </c>
      <c r="N18" s="56"/>
    </row>
    <row r="19" spans="2:16" ht="19.149999999999999" customHeight="1" x14ac:dyDescent="0.3">
      <c r="B19" s="48" t="s">
        <v>22</v>
      </c>
      <c r="C19" s="49"/>
      <c r="D19" s="49"/>
      <c r="E19" s="49"/>
      <c r="F19" s="49"/>
      <c r="G19" s="49"/>
      <c r="H19" s="49"/>
      <c r="I19" s="49"/>
      <c r="J19" s="49"/>
      <c r="K19" s="50"/>
      <c r="L19" s="2"/>
      <c r="M19" s="55">
        <f>1/12*(31/48)</f>
        <v>5.3819444444444448E-2</v>
      </c>
      <c r="N19" s="56"/>
    </row>
    <row r="20" spans="2:16" ht="19.149999999999999" customHeight="1" x14ac:dyDescent="0.3">
      <c r="B20" s="48" t="s">
        <v>158</v>
      </c>
      <c r="C20" s="49"/>
      <c r="D20" s="49"/>
      <c r="E20" s="49"/>
      <c r="F20" s="49"/>
      <c r="G20" s="49"/>
      <c r="H20" s="49"/>
      <c r="I20" s="49"/>
      <c r="J20" s="49"/>
      <c r="K20" s="50"/>
      <c r="L20" s="2"/>
      <c r="M20" s="55">
        <f>M19*M15</f>
        <v>1.9805555555555559E-2</v>
      </c>
      <c r="N20" s="56"/>
      <c r="O20" s="30"/>
      <c r="P20" s="30"/>
    </row>
    <row r="21" spans="2:16" ht="19.149999999999999" customHeight="1" x14ac:dyDescent="0.3">
      <c r="B21" s="48" t="s">
        <v>157</v>
      </c>
      <c r="C21" s="49"/>
      <c r="D21" s="49"/>
      <c r="E21" s="49"/>
      <c r="F21" s="49"/>
      <c r="G21" s="49"/>
      <c r="H21" s="49"/>
      <c r="I21" s="49"/>
      <c r="J21" s="49"/>
      <c r="K21" s="50"/>
      <c r="L21" s="2"/>
      <c r="M21" s="55">
        <f>M19*8%*40%</f>
        <v>1.7222222222222222E-3</v>
      </c>
      <c r="N21" s="56"/>
      <c r="O21" s="30"/>
    </row>
    <row r="22" spans="2:16" ht="19.149999999999999" customHeight="1" x14ac:dyDescent="0.3">
      <c r="B22" s="48" t="s">
        <v>23</v>
      </c>
      <c r="C22" s="49"/>
      <c r="D22" s="49"/>
      <c r="E22" s="49"/>
      <c r="F22" s="49"/>
      <c r="G22" s="49"/>
      <c r="H22" s="49"/>
      <c r="I22" s="49"/>
      <c r="J22" s="49"/>
      <c r="K22" s="50"/>
      <c r="L22" s="2"/>
      <c r="M22" s="55">
        <f>1/30*7/12*(17/48)</f>
        <v>6.8865740740740745E-3</v>
      </c>
      <c r="N22" s="56"/>
    </row>
    <row r="23" spans="2:16" ht="19.149999999999999" customHeight="1" x14ac:dyDescent="0.3">
      <c r="B23" s="48" t="s">
        <v>159</v>
      </c>
      <c r="C23" s="49"/>
      <c r="D23" s="49"/>
      <c r="E23" s="49"/>
      <c r="F23" s="49"/>
      <c r="G23" s="49"/>
      <c r="H23" s="49"/>
      <c r="I23" s="49"/>
      <c r="J23" s="49"/>
      <c r="K23" s="50"/>
      <c r="L23" s="2"/>
      <c r="M23" s="55">
        <f>M22*28.8%+M22*8%</f>
        <v>2.5342592592592595E-3</v>
      </c>
      <c r="N23" s="56"/>
    </row>
    <row r="24" spans="2:16" ht="19.149999999999999" customHeight="1" x14ac:dyDescent="0.3">
      <c r="B24" s="48" t="s">
        <v>160</v>
      </c>
      <c r="C24" s="49"/>
      <c r="D24" s="49"/>
      <c r="E24" s="49"/>
      <c r="F24" s="49"/>
      <c r="G24" s="49"/>
      <c r="H24" s="49"/>
      <c r="I24" s="49"/>
      <c r="J24" s="49"/>
      <c r="K24" s="50"/>
      <c r="L24" s="2"/>
      <c r="M24" s="55">
        <f>M22*8%*40%</f>
        <v>2.2037037037037039E-4</v>
      </c>
      <c r="N24" s="56"/>
    </row>
    <row r="25" spans="2:16" ht="19.149999999999999" customHeight="1" thickBot="1" x14ac:dyDescent="0.35">
      <c r="B25" s="60" t="s">
        <v>31</v>
      </c>
      <c r="C25" s="61"/>
      <c r="D25" s="61"/>
      <c r="E25" s="61"/>
      <c r="F25" s="61"/>
      <c r="G25" s="61"/>
      <c r="H25" s="61"/>
      <c r="I25" s="61"/>
      <c r="J25" s="61"/>
      <c r="K25" s="62"/>
      <c r="L25" s="2"/>
      <c r="M25" s="63">
        <f>SUM(M17:N24)</f>
        <v>0.27943287037037035</v>
      </c>
      <c r="N25" s="64"/>
    </row>
    <row r="26" spans="2:16" ht="19.149999999999999" customHeight="1" thickBot="1" x14ac:dyDescent="0.35">
      <c r="B26" s="67" t="s">
        <v>24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2:16" ht="19.149999999999999" customHeight="1" x14ac:dyDescent="0.3">
      <c r="B27" s="57" t="s">
        <v>25</v>
      </c>
      <c r="C27" s="58"/>
      <c r="D27" s="59"/>
      <c r="F27" s="65">
        <f>1/12</f>
        <v>8.3333333333333329E-2</v>
      </c>
      <c r="G27" s="66"/>
      <c r="I27" s="57" t="s">
        <v>26</v>
      </c>
      <c r="J27" s="58"/>
      <c r="K27" s="59"/>
      <c r="L27" s="2"/>
      <c r="M27" s="65">
        <f>24/27/24</f>
        <v>3.7037037037037035E-2</v>
      </c>
      <c r="N27" s="66"/>
    </row>
    <row r="28" spans="2:16" ht="19.149999999999999" customHeight="1" x14ac:dyDescent="0.3">
      <c r="B28" s="48" t="s">
        <v>27</v>
      </c>
      <c r="C28" s="49"/>
      <c r="D28" s="50"/>
      <c r="F28" s="77">
        <f>2/27/24</f>
        <v>3.0864197530864196E-3</v>
      </c>
      <c r="G28" s="78"/>
      <c r="I28" s="48" t="s">
        <v>28</v>
      </c>
      <c r="J28" s="49"/>
      <c r="K28" s="50"/>
      <c r="L28" s="2"/>
      <c r="M28" s="77">
        <v>0</v>
      </c>
      <c r="N28" s="78"/>
    </row>
    <row r="29" spans="2:16" ht="19.149999999999999" customHeight="1" x14ac:dyDescent="0.3">
      <c r="B29" s="48" t="s">
        <v>29</v>
      </c>
      <c r="C29" s="49"/>
      <c r="D29" s="50"/>
      <c r="F29" s="77">
        <f>1/27/24</f>
        <v>1.5432098765432098E-3</v>
      </c>
      <c r="G29" s="78"/>
      <c r="I29" s="99"/>
      <c r="J29" s="99"/>
      <c r="K29" s="99"/>
      <c r="L29" s="2"/>
      <c r="M29" s="112"/>
      <c r="N29" s="113"/>
    </row>
    <row r="30" spans="2:16" ht="19.149999999999999" customHeight="1" thickBot="1" x14ac:dyDescent="0.35">
      <c r="B30" s="60" t="s">
        <v>30</v>
      </c>
      <c r="C30" s="61"/>
      <c r="D30" s="61"/>
      <c r="E30" s="61"/>
      <c r="F30" s="61"/>
      <c r="G30" s="61"/>
      <c r="H30" s="61"/>
      <c r="I30" s="61"/>
      <c r="J30" s="61"/>
      <c r="K30" s="62"/>
      <c r="L30" s="2"/>
      <c r="M30" s="63">
        <f>F27+F28+F29+M27+M28+M29</f>
        <v>0.125</v>
      </c>
      <c r="N30" s="64"/>
    </row>
    <row r="31" spans="2:16" ht="19.149999999999999" customHeight="1" thickBot="1" x14ac:dyDescent="0.35">
      <c r="B31" s="107" t="s">
        <v>102</v>
      </c>
      <c r="C31" s="108"/>
      <c r="D31" s="108"/>
      <c r="E31" s="108"/>
      <c r="F31" s="108"/>
      <c r="G31" s="108"/>
      <c r="H31" s="108"/>
      <c r="I31" s="108"/>
      <c r="J31" s="108"/>
      <c r="K31" s="109"/>
      <c r="L31" s="2"/>
      <c r="M31" s="110">
        <f>M30+M25+M15</f>
        <v>0.77243287037037045</v>
      </c>
      <c r="N31" s="111"/>
    </row>
    <row r="32" spans="2:16" ht="19.149999999999999" customHeight="1" thickBot="1" x14ac:dyDescent="0.35">
      <c r="B32" s="125" t="s">
        <v>63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7"/>
    </row>
    <row r="33" spans="2:14" ht="19.149999999999999" customHeight="1" thickBot="1" x14ac:dyDescent="0.35">
      <c r="B33" s="67" t="s">
        <v>0</v>
      </c>
      <c r="C33" s="68"/>
      <c r="D33" s="68"/>
      <c r="E33" s="68"/>
      <c r="F33" s="68"/>
      <c r="G33" s="68"/>
      <c r="H33" s="68"/>
      <c r="I33" s="68"/>
      <c r="J33" s="68"/>
      <c r="K33" s="69"/>
      <c r="L33" s="2"/>
      <c r="M33" s="67" t="s">
        <v>1</v>
      </c>
      <c r="N33" s="69"/>
    </row>
    <row r="34" spans="2:14" ht="19.149999999999999" customHeight="1" x14ac:dyDescent="0.3">
      <c r="B34" s="57" t="s">
        <v>2</v>
      </c>
      <c r="C34" s="58"/>
      <c r="D34" s="58"/>
      <c r="E34" s="58"/>
      <c r="F34" s="58"/>
      <c r="G34" s="58"/>
      <c r="H34" s="58"/>
      <c r="I34" s="58"/>
      <c r="J34" s="58"/>
      <c r="K34" s="59"/>
      <c r="L34" s="2"/>
      <c r="M34" s="72">
        <v>2262.02</v>
      </c>
      <c r="N34" s="73"/>
    </row>
    <row r="35" spans="2:14" ht="19.149999999999999" customHeight="1" x14ac:dyDescent="0.3">
      <c r="B35" s="48" t="s">
        <v>3</v>
      </c>
      <c r="C35" s="49"/>
      <c r="D35" s="49"/>
      <c r="E35" s="49"/>
      <c r="F35" s="49"/>
      <c r="G35" s="49"/>
      <c r="H35" s="49"/>
      <c r="I35" s="49"/>
      <c r="J35" s="49"/>
      <c r="K35" s="50"/>
      <c r="L35" s="2"/>
      <c r="M35" s="46">
        <v>1542.87</v>
      </c>
      <c r="N35" s="47"/>
    </row>
    <row r="36" spans="2:14" ht="19.149999999999999" customHeight="1" thickBot="1" x14ac:dyDescent="0.35">
      <c r="B36" s="79" t="s">
        <v>4</v>
      </c>
      <c r="C36" s="80"/>
      <c r="D36" s="80"/>
      <c r="E36" s="80"/>
      <c r="F36" s="80"/>
      <c r="G36" s="80"/>
      <c r="H36" s="80"/>
      <c r="I36" s="80"/>
      <c r="J36" s="80"/>
      <c r="K36" s="81"/>
      <c r="L36" s="2"/>
      <c r="M36" s="123">
        <v>1302</v>
      </c>
      <c r="N36" s="124"/>
    </row>
    <row r="37" spans="2:14" ht="19.149999999999999" customHeight="1" thickBot="1" x14ac:dyDescent="0.35">
      <c r="B37" s="116" t="s">
        <v>62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8"/>
    </row>
    <row r="38" spans="2:14" ht="19.149999999999999" customHeight="1" thickBot="1" x14ac:dyDescent="0.35">
      <c r="B38" s="75"/>
      <c r="C38" s="75"/>
      <c r="D38" s="75"/>
      <c r="E38" s="75"/>
      <c r="F38" s="75"/>
      <c r="G38" s="75"/>
      <c r="H38" s="2"/>
      <c r="I38" s="120" t="s">
        <v>155</v>
      </c>
      <c r="J38" s="121"/>
      <c r="K38" s="122"/>
      <c r="L38" s="2"/>
      <c r="M38" s="42">
        <v>1</v>
      </c>
      <c r="N38" s="38">
        <v>0.25</v>
      </c>
    </row>
    <row r="39" spans="2:14" ht="19.149999999999999" customHeight="1" x14ac:dyDescent="0.3">
      <c r="B39" s="101" t="s">
        <v>50</v>
      </c>
      <c r="C39" s="101"/>
      <c r="D39" s="101"/>
      <c r="E39" s="4"/>
      <c r="F39" s="119">
        <f>M34</f>
        <v>2262.02</v>
      </c>
      <c r="G39" s="54"/>
      <c r="H39" s="2"/>
      <c r="I39" s="101" t="s">
        <v>36</v>
      </c>
      <c r="J39" s="101"/>
      <c r="K39" s="101"/>
      <c r="M39" s="53">
        <v>44</v>
      </c>
      <c r="N39" s="54"/>
    </row>
    <row r="40" spans="2:14" ht="19.149999999999999" customHeight="1" x14ac:dyDescent="0.3">
      <c r="B40" s="101" t="s">
        <v>35</v>
      </c>
      <c r="C40" s="101"/>
      <c r="D40" s="101"/>
      <c r="F40" s="46">
        <v>1302</v>
      </c>
      <c r="G40" s="47"/>
      <c r="H40" s="2"/>
      <c r="I40" s="101" t="s">
        <v>51</v>
      </c>
      <c r="J40" s="101"/>
      <c r="K40" s="101"/>
      <c r="M40" s="114">
        <f>M39/6*30</f>
        <v>220</v>
      </c>
      <c r="N40" s="115"/>
    </row>
    <row r="41" spans="2:14" ht="19.149999999999999" customHeight="1" x14ac:dyDescent="0.3">
      <c r="F41" s="71" t="s">
        <v>33</v>
      </c>
      <c r="G41" s="71"/>
      <c r="H41" s="2"/>
      <c r="I41" s="71" t="s">
        <v>37</v>
      </c>
      <c r="J41" s="71"/>
      <c r="K41" s="71"/>
      <c r="L41" s="2"/>
      <c r="M41" s="129" t="s">
        <v>38</v>
      </c>
      <c r="N41" s="129"/>
    </row>
    <row r="42" spans="2:14" ht="19.149999999999999" customHeight="1" x14ac:dyDescent="0.3">
      <c r="B42" s="101" t="s">
        <v>49</v>
      </c>
      <c r="C42" s="101"/>
      <c r="D42" s="101"/>
      <c r="F42" s="53"/>
      <c r="G42" s="54"/>
      <c r="H42" s="2"/>
      <c r="I42" s="128">
        <f>F39/M40*(1+100%)</f>
        <v>20.563818181818181</v>
      </c>
      <c r="J42" s="128"/>
      <c r="K42" s="74"/>
      <c r="L42" s="2"/>
      <c r="M42" s="100">
        <f>I42*F42</f>
        <v>0</v>
      </c>
      <c r="N42" s="100"/>
    </row>
    <row r="43" spans="2:14" ht="19.149999999999999" customHeight="1" x14ac:dyDescent="0.3">
      <c r="B43" s="101" t="s">
        <v>48</v>
      </c>
      <c r="C43" s="101"/>
      <c r="D43" s="101"/>
      <c r="F43" s="53"/>
      <c r="G43" s="54"/>
      <c r="H43" s="2"/>
      <c r="I43" s="128">
        <f>F39/M40*(1+50%)</f>
        <v>15.422863636363637</v>
      </c>
      <c r="J43" s="128"/>
      <c r="K43" s="74"/>
      <c r="L43" s="2"/>
      <c r="M43" s="100">
        <f>I43*F43</f>
        <v>0</v>
      </c>
      <c r="N43" s="100"/>
    </row>
    <row r="44" spans="2:14" ht="19.149999999999999" customHeight="1" x14ac:dyDescent="0.3">
      <c r="B44" s="101" t="s">
        <v>150</v>
      </c>
      <c r="C44" s="101"/>
      <c r="D44" s="101"/>
      <c r="F44" s="138">
        <v>0.4</v>
      </c>
      <c r="G44" s="54"/>
      <c r="H44" s="2"/>
      <c r="I44" s="76"/>
      <c r="J44" s="76"/>
      <c r="K44" s="76"/>
      <c r="L44" s="2"/>
      <c r="M44" s="100">
        <f>F40*F44</f>
        <v>520.80000000000007</v>
      </c>
      <c r="N44" s="100"/>
    </row>
    <row r="45" spans="2:14" ht="19.149999999999999" customHeight="1" x14ac:dyDescent="0.3">
      <c r="H45" s="5"/>
      <c r="I45" s="134" t="s">
        <v>52</v>
      </c>
      <c r="J45" s="135"/>
      <c r="K45" s="135"/>
      <c r="L45" s="6"/>
      <c r="M45" s="130">
        <f>F39+M42+M43+M44</f>
        <v>2782.82</v>
      </c>
      <c r="N45" s="131"/>
    </row>
    <row r="46" spans="2:14" ht="19.149999999999999" customHeight="1" x14ac:dyDescent="0.3">
      <c r="B46" s="101" t="s">
        <v>39</v>
      </c>
      <c r="C46" s="101"/>
      <c r="D46" s="101"/>
      <c r="F46" s="132">
        <f>M31</f>
        <v>0.77243287037037045</v>
      </c>
      <c r="G46" s="133"/>
      <c r="H46" s="5"/>
      <c r="I46" s="134" t="s">
        <v>53</v>
      </c>
      <c r="J46" s="135"/>
      <c r="K46" s="135"/>
      <c r="L46" s="6"/>
      <c r="M46" s="130">
        <f>M45*F46</f>
        <v>2149.5416403240743</v>
      </c>
      <c r="N46" s="131"/>
    </row>
    <row r="47" spans="2:14" ht="19.149999999999999" customHeight="1" x14ac:dyDescent="0.3">
      <c r="H47" s="5"/>
      <c r="I47" s="134" t="s">
        <v>54</v>
      </c>
      <c r="J47" s="135"/>
      <c r="K47" s="135"/>
      <c r="L47" s="3"/>
      <c r="M47" s="130">
        <f>M46+M45</f>
        <v>4932.361640324074</v>
      </c>
      <c r="N47" s="131"/>
    </row>
    <row r="48" spans="2:14" ht="19.149999999999999" customHeight="1" x14ac:dyDescent="0.3">
      <c r="B48" s="139" t="s">
        <v>40</v>
      </c>
      <c r="C48" s="139"/>
      <c r="D48" s="139"/>
      <c r="F48" s="46"/>
      <c r="G48" s="47"/>
      <c r="H48" s="2"/>
      <c r="L48" s="2"/>
      <c r="M48" s="100">
        <f>F48</f>
        <v>0</v>
      </c>
      <c r="N48" s="100"/>
    </row>
    <row r="49" spans="2:14" ht="19.149999999999999" customHeight="1" x14ac:dyDescent="0.3">
      <c r="B49" s="101" t="s">
        <v>41</v>
      </c>
      <c r="C49" s="101"/>
      <c r="D49" s="101"/>
      <c r="F49" s="46">
        <f>500.85/30</f>
        <v>16.695</v>
      </c>
      <c r="G49" s="47"/>
      <c r="H49" s="4"/>
      <c r="I49" s="4"/>
      <c r="J49" s="4"/>
      <c r="K49" s="4"/>
      <c r="L49" s="2"/>
      <c r="M49" s="100">
        <f>(F49*30)*1</f>
        <v>500.85</v>
      </c>
      <c r="N49" s="100"/>
    </row>
    <row r="50" spans="2:14" ht="19.149999999999999" customHeight="1" x14ac:dyDescent="0.3">
      <c r="B50" s="101" t="s">
        <v>42</v>
      </c>
      <c r="C50" s="101"/>
      <c r="D50" s="101"/>
      <c r="F50" s="46"/>
      <c r="G50" s="47"/>
      <c r="H50" s="2"/>
      <c r="L50" s="2"/>
      <c r="M50" s="100">
        <f>F50</f>
        <v>0</v>
      </c>
      <c r="N50" s="100"/>
    </row>
    <row r="51" spans="2:14" ht="19.149999999999999" customHeight="1" x14ac:dyDescent="0.3">
      <c r="B51" s="101" t="s">
        <v>44</v>
      </c>
      <c r="C51" s="101"/>
      <c r="D51" s="101"/>
      <c r="F51" s="46">
        <f>F39*2%</f>
        <v>45.240400000000001</v>
      </c>
      <c r="G51" s="47"/>
      <c r="H51" s="4"/>
      <c r="I51" s="4"/>
      <c r="J51" s="4"/>
      <c r="K51" s="4"/>
      <c r="L51" s="4"/>
      <c r="M51" s="100">
        <f>F51</f>
        <v>45.240400000000001</v>
      </c>
      <c r="N51" s="100"/>
    </row>
    <row r="52" spans="2:14" ht="19.149999999999999" customHeight="1" x14ac:dyDescent="0.3">
      <c r="B52" s="101" t="s">
        <v>43</v>
      </c>
      <c r="C52" s="101"/>
      <c r="D52" s="101"/>
      <c r="F52" s="46"/>
      <c r="G52" s="47"/>
      <c r="H52" s="2"/>
      <c r="I52" s="4"/>
      <c r="J52" s="4"/>
      <c r="K52" s="4"/>
      <c r="L52" s="2"/>
      <c r="M52" s="100">
        <f>F52</f>
        <v>0</v>
      </c>
      <c r="N52" s="100"/>
    </row>
    <row r="53" spans="2:14" ht="19.149999999999999" customHeight="1" x14ac:dyDescent="0.3">
      <c r="B53" s="101" t="s">
        <v>166</v>
      </c>
      <c r="C53" s="101"/>
      <c r="D53" s="101"/>
      <c r="F53" s="46">
        <v>0</v>
      </c>
      <c r="G53" s="47"/>
      <c r="H53" s="2"/>
      <c r="I53" s="4"/>
      <c r="J53" s="4"/>
      <c r="K53" s="4"/>
      <c r="L53" s="2"/>
      <c r="M53" s="100">
        <f>F53</f>
        <v>0</v>
      </c>
      <c r="N53" s="100"/>
    </row>
    <row r="54" spans="2:14" ht="19.149999999999999" customHeight="1" thickBot="1" x14ac:dyDescent="0.35">
      <c r="B54" s="101" t="s">
        <v>46</v>
      </c>
      <c r="C54" s="101"/>
      <c r="D54" s="101"/>
      <c r="F54" s="136">
        <f>SUM(M47:N53)</f>
        <v>5478.452040324074</v>
      </c>
      <c r="G54" s="137"/>
      <c r="H54" s="2"/>
      <c r="I54" s="141" t="s">
        <v>45</v>
      </c>
      <c r="J54" s="142"/>
      <c r="K54" s="142"/>
      <c r="L54" s="142"/>
      <c r="M54" s="140">
        <f>F54*M38*N38</f>
        <v>1369.6130100810185</v>
      </c>
      <c r="N54" s="137"/>
    </row>
    <row r="55" spans="2:14" ht="19.149999999999999" customHeight="1" thickBot="1" x14ac:dyDescent="0.35">
      <c r="B55" s="116" t="s">
        <v>61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8"/>
    </row>
    <row r="56" spans="2:14" ht="19.149999999999999" customHeight="1" thickBot="1" x14ac:dyDescent="0.35">
      <c r="B56" s="75"/>
      <c r="C56" s="75"/>
      <c r="D56" s="75"/>
      <c r="E56" s="75"/>
      <c r="F56" s="75"/>
      <c r="G56" s="75"/>
      <c r="H56" s="2"/>
      <c r="I56" s="120" t="s">
        <v>156</v>
      </c>
      <c r="J56" s="121"/>
      <c r="K56" s="122"/>
      <c r="L56" s="2"/>
      <c r="M56" s="42">
        <v>3</v>
      </c>
      <c r="N56" s="38">
        <v>0.25</v>
      </c>
    </row>
    <row r="57" spans="2:14" ht="19.149999999999999" customHeight="1" x14ac:dyDescent="0.3">
      <c r="B57" s="101" t="s">
        <v>50</v>
      </c>
      <c r="C57" s="101"/>
      <c r="D57" s="101"/>
      <c r="E57" s="4"/>
      <c r="F57" s="119">
        <f>M35</f>
        <v>1542.87</v>
      </c>
      <c r="G57" s="54"/>
      <c r="H57" s="2"/>
      <c r="I57" s="101" t="s">
        <v>36</v>
      </c>
      <c r="J57" s="101"/>
      <c r="K57" s="101"/>
      <c r="M57" s="53">
        <v>44</v>
      </c>
      <c r="N57" s="54"/>
    </row>
    <row r="58" spans="2:14" ht="19.149999999999999" customHeight="1" x14ac:dyDescent="0.3">
      <c r="B58" s="101" t="s">
        <v>35</v>
      </c>
      <c r="C58" s="101"/>
      <c r="D58" s="101"/>
      <c r="F58" s="119">
        <v>1302</v>
      </c>
      <c r="G58" s="54"/>
      <c r="H58" s="2"/>
      <c r="I58" s="101" t="s">
        <v>51</v>
      </c>
      <c r="J58" s="101"/>
      <c r="K58" s="101"/>
      <c r="M58" s="114">
        <f>M57/6*30</f>
        <v>220</v>
      </c>
      <c r="N58" s="115"/>
    </row>
    <row r="59" spans="2:14" ht="19.149999999999999" customHeight="1" x14ac:dyDescent="0.3">
      <c r="F59" s="71" t="s">
        <v>33</v>
      </c>
      <c r="G59" s="71"/>
      <c r="H59" s="2"/>
      <c r="I59" s="71" t="s">
        <v>37</v>
      </c>
      <c r="J59" s="71"/>
      <c r="K59" s="71"/>
      <c r="L59" s="2"/>
      <c r="M59" s="129" t="s">
        <v>38</v>
      </c>
      <c r="N59" s="129"/>
    </row>
    <row r="60" spans="2:14" ht="19.149999999999999" customHeight="1" x14ac:dyDescent="0.3">
      <c r="B60" s="101" t="s">
        <v>49</v>
      </c>
      <c r="C60" s="101"/>
      <c r="D60" s="101"/>
      <c r="F60" s="53"/>
      <c r="G60" s="54"/>
      <c r="H60" s="2"/>
      <c r="I60" s="128">
        <f>F57/M58*(1+100%)</f>
        <v>14.026090909090907</v>
      </c>
      <c r="J60" s="128"/>
      <c r="K60" s="74"/>
      <c r="L60" s="2"/>
      <c r="M60" s="100">
        <f>I60*F60</f>
        <v>0</v>
      </c>
      <c r="N60" s="100"/>
    </row>
    <row r="61" spans="2:14" ht="19.149999999999999" customHeight="1" x14ac:dyDescent="0.3">
      <c r="B61" s="101" t="s">
        <v>48</v>
      </c>
      <c r="C61" s="101"/>
      <c r="D61" s="101"/>
      <c r="F61" s="53"/>
      <c r="G61" s="54"/>
      <c r="H61" s="2"/>
      <c r="I61" s="128">
        <f>F57/M58*(1+50%)</f>
        <v>10.51956818181818</v>
      </c>
      <c r="J61" s="128"/>
      <c r="K61" s="74"/>
      <c r="L61" s="2"/>
      <c r="M61" s="100">
        <f>I61*F61</f>
        <v>0</v>
      </c>
      <c r="N61" s="100"/>
    </row>
    <row r="62" spans="2:14" ht="19.149999999999999" customHeight="1" x14ac:dyDescent="0.3">
      <c r="B62" s="101" t="s">
        <v>47</v>
      </c>
      <c r="C62" s="101"/>
      <c r="D62" s="101"/>
      <c r="F62" s="138">
        <v>0.4</v>
      </c>
      <c r="G62" s="54"/>
      <c r="H62" s="2"/>
      <c r="I62" s="76"/>
      <c r="J62" s="76"/>
      <c r="K62" s="76"/>
      <c r="L62" s="2"/>
      <c r="M62" s="100">
        <f>F58*F62</f>
        <v>520.80000000000007</v>
      </c>
      <c r="N62" s="100"/>
    </row>
    <row r="63" spans="2:14" ht="19.149999999999999" customHeight="1" x14ac:dyDescent="0.3">
      <c r="H63" s="5"/>
      <c r="I63" s="134" t="s">
        <v>52</v>
      </c>
      <c r="J63" s="135"/>
      <c r="K63" s="135"/>
      <c r="L63" s="6"/>
      <c r="M63" s="130">
        <f>F57+M60+M61+M62</f>
        <v>2063.67</v>
      </c>
      <c r="N63" s="131"/>
    </row>
    <row r="64" spans="2:14" ht="19.149999999999999" customHeight="1" x14ac:dyDescent="0.3">
      <c r="B64" s="101" t="s">
        <v>39</v>
      </c>
      <c r="C64" s="101"/>
      <c r="D64" s="101"/>
      <c r="F64" s="132">
        <f>M31</f>
        <v>0.77243287037037045</v>
      </c>
      <c r="G64" s="133"/>
      <c r="H64" s="5"/>
      <c r="I64" s="134" t="s">
        <v>53</v>
      </c>
      <c r="J64" s="135"/>
      <c r="K64" s="135"/>
      <c r="L64" s="6"/>
      <c r="M64" s="130">
        <f>M63*F64</f>
        <v>1594.0465415972224</v>
      </c>
      <c r="N64" s="131"/>
    </row>
    <row r="65" spans="2:14" ht="19.149999999999999" customHeight="1" x14ac:dyDescent="0.3">
      <c r="H65" s="5"/>
      <c r="I65" s="134" t="s">
        <v>54</v>
      </c>
      <c r="J65" s="135"/>
      <c r="K65" s="135"/>
      <c r="L65" s="3"/>
      <c r="M65" s="130">
        <f>M64+M63</f>
        <v>3657.7165415972222</v>
      </c>
      <c r="N65" s="131"/>
    </row>
    <row r="66" spans="2:14" ht="19.149999999999999" customHeight="1" x14ac:dyDescent="0.3">
      <c r="B66" s="139" t="s">
        <v>40</v>
      </c>
      <c r="C66" s="139"/>
      <c r="D66" s="139"/>
      <c r="F66" s="46"/>
      <c r="G66" s="47"/>
      <c r="H66" s="2"/>
      <c r="I66" s="74"/>
      <c r="J66" s="74"/>
      <c r="K66" s="74"/>
      <c r="L66" s="2"/>
      <c r="M66" s="100">
        <f>F66</f>
        <v>0</v>
      </c>
      <c r="N66" s="100"/>
    </row>
    <row r="67" spans="2:14" ht="19.149999999999999" customHeight="1" x14ac:dyDescent="0.3">
      <c r="B67" s="101" t="s">
        <v>41</v>
      </c>
      <c r="C67" s="101"/>
      <c r="D67" s="101"/>
      <c r="F67" s="46">
        <f>500.85/30</f>
        <v>16.695</v>
      </c>
      <c r="G67" s="47"/>
      <c r="H67" s="4"/>
      <c r="I67" s="75"/>
      <c r="J67" s="75"/>
      <c r="K67" s="75"/>
      <c r="L67" s="2"/>
      <c r="M67" s="100">
        <f>(F67*30)*1</f>
        <v>500.85</v>
      </c>
      <c r="N67" s="100"/>
    </row>
    <row r="68" spans="2:14" ht="19.149999999999999" customHeight="1" x14ac:dyDescent="0.3">
      <c r="B68" s="101" t="s">
        <v>55</v>
      </c>
      <c r="C68" s="101"/>
      <c r="D68" s="101"/>
      <c r="F68" s="46"/>
      <c r="G68" s="47"/>
      <c r="H68" s="2"/>
      <c r="I68" s="76"/>
      <c r="J68" s="76"/>
      <c r="K68" s="76"/>
      <c r="L68" s="2"/>
      <c r="M68" s="100">
        <f>F68</f>
        <v>0</v>
      </c>
      <c r="N68" s="100"/>
    </row>
    <row r="69" spans="2:14" ht="19.149999999999999" customHeight="1" x14ac:dyDescent="0.3">
      <c r="B69" s="101" t="s">
        <v>44</v>
      </c>
      <c r="C69" s="101"/>
      <c r="D69" s="101"/>
      <c r="F69" s="46">
        <f>F57*2%</f>
        <v>30.857399999999998</v>
      </c>
      <c r="G69" s="47"/>
      <c r="H69" s="4"/>
      <c r="I69" s="75"/>
      <c r="J69" s="75"/>
      <c r="K69" s="75"/>
      <c r="L69" s="4"/>
      <c r="M69" s="100">
        <f>F69</f>
        <v>30.857399999999998</v>
      </c>
      <c r="N69" s="100"/>
    </row>
    <row r="70" spans="2:14" ht="19.149999999999999" customHeight="1" x14ac:dyDescent="0.3">
      <c r="B70" s="101" t="s">
        <v>43</v>
      </c>
      <c r="C70" s="101"/>
      <c r="D70" s="101"/>
      <c r="F70" s="46">
        <v>0</v>
      </c>
      <c r="G70" s="47"/>
      <c r="H70" s="2"/>
      <c r="I70" s="75"/>
      <c r="J70" s="75"/>
      <c r="K70" s="75"/>
      <c r="L70" s="2"/>
      <c r="M70" s="100">
        <f>F70</f>
        <v>0</v>
      </c>
      <c r="N70" s="100"/>
    </row>
    <row r="71" spans="2:14" ht="19.149999999999999" customHeight="1" x14ac:dyDescent="0.3">
      <c r="B71" s="101" t="s">
        <v>166</v>
      </c>
      <c r="C71" s="101"/>
      <c r="D71" s="101"/>
      <c r="F71" s="46">
        <v>114.6</v>
      </c>
      <c r="G71" s="47"/>
      <c r="H71" s="2"/>
      <c r="I71" s="75"/>
      <c r="J71" s="75"/>
      <c r="K71" s="75"/>
      <c r="L71" s="2"/>
      <c r="M71" s="100">
        <f>F71</f>
        <v>114.6</v>
      </c>
      <c r="N71" s="100"/>
    </row>
    <row r="72" spans="2:14" ht="19.149999999999999" customHeight="1" thickBot="1" x14ac:dyDescent="0.35">
      <c r="B72" s="101" t="s">
        <v>161</v>
      </c>
      <c r="C72" s="101"/>
      <c r="D72" s="101"/>
      <c r="F72" s="136">
        <f>SUM(M65:N71)</f>
        <v>4304.0239415972228</v>
      </c>
      <c r="G72" s="137"/>
      <c r="H72" s="2"/>
      <c r="I72" s="141" t="s">
        <v>45</v>
      </c>
      <c r="J72" s="142"/>
      <c r="K72" s="142"/>
      <c r="L72" s="210"/>
      <c r="M72" s="140">
        <f>F72*M56*N56</f>
        <v>3228.0179561979171</v>
      </c>
      <c r="N72" s="137"/>
    </row>
    <row r="73" spans="2:14" ht="19.149999999999999" customHeight="1" thickBot="1" x14ac:dyDescent="0.35">
      <c r="B73" s="67" t="s">
        <v>56</v>
      </c>
      <c r="C73" s="68"/>
      <c r="D73" s="68"/>
      <c r="E73" s="68"/>
      <c r="F73" s="68"/>
      <c r="G73" s="69"/>
      <c r="H73" s="4"/>
      <c r="I73" s="67" t="s">
        <v>1</v>
      </c>
      <c r="J73" s="68"/>
      <c r="K73" s="69"/>
      <c r="L73" s="2"/>
      <c r="M73" s="67" t="s">
        <v>60</v>
      </c>
      <c r="N73" s="69"/>
    </row>
    <row r="74" spans="2:14" ht="19.149999999999999" customHeight="1" x14ac:dyDescent="0.3">
      <c r="B74" s="57" t="s">
        <v>57</v>
      </c>
      <c r="C74" s="58"/>
      <c r="D74" s="58"/>
      <c r="E74" s="58"/>
      <c r="F74" s="58"/>
      <c r="G74" s="58"/>
      <c r="H74" s="3"/>
      <c r="I74" s="149">
        <f>M54</f>
        <v>1369.6130100810185</v>
      </c>
      <c r="J74" s="149"/>
      <c r="K74" s="150"/>
      <c r="L74" s="2"/>
      <c r="M74" s="151">
        <f>I74/I$76</f>
        <v>0.29789537701619984</v>
      </c>
      <c r="N74" s="152"/>
    </row>
    <row r="75" spans="2:14" ht="19.149999999999999" customHeight="1" x14ac:dyDescent="0.3">
      <c r="B75" s="48" t="s">
        <v>58</v>
      </c>
      <c r="C75" s="49"/>
      <c r="D75" s="49"/>
      <c r="E75" s="49"/>
      <c r="F75" s="49"/>
      <c r="G75" s="49"/>
      <c r="H75" s="3"/>
      <c r="I75" s="146">
        <f>M72</f>
        <v>3228.0179561979171</v>
      </c>
      <c r="J75" s="146"/>
      <c r="K75" s="115"/>
      <c r="L75" s="2"/>
      <c r="M75" s="147">
        <f>I75/I$76</f>
        <v>0.70210462298380028</v>
      </c>
      <c r="N75" s="148"/>
    </row>
    <row r="76" spans="2:14" ht="19.149999999999999" customHeight="1" thickBot="1" x14ac:dyDescent="0.35">
      <c r="B76" s="155" t="s">
        <v>101</v>
      </c>
      <c r="C76" s="156"/>
      <c r="D76" s="156"/>
      <c r="E76" s="156"/>
      <c r="F76" s="156"/>
      <c r="G76" s="156"/>
      <c r="H76" s="17"/>
      <c r="I76" s="157">
        <f>SUM(I74:K75)</f>
        <v>4597.6309662789354</v>
      </c>
      <c r="J76" s="157"/>
      <c r="K76" s="158"/>
      <c r="L76" s="2"/>
      <c r="M76" s="153">
        <f>I76/I$76</f>
        <v>1</v>
      </c>
      <c r="N76" s="154"/>
    </row>
    <row r="77" spans="2:14" ht="19.149999999999999" customHeight="1" thickBot="1" x14ac:dyDescent="0.35">
      <c r="B77" s="125" t="s">
        <v>84</v>
      </c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7"/>
    </row>
    <row r="78" spans="2:14" ht="19.149999999999999" customHeight="1" x14ac:dyDescent="0.3">
      <c r="B78" s="57" t="s">
        <v>66</v>
      </c>
      <c r="C78" s="58"/>
      <c r="D78" s="59"/>
      <c r="F78" s="72">
        <v>5000</v>
      </c>
      <c r="G78" s="73"/>
      <c r="I78" s="57" t="s">
        <v>67</v>
      </c>
      <c r="J78" s="58"/>
      <c r="K78" s="59"/>
      <c r="L78" s="2"/>
      <c r="M78" s="72">
        <v>1200</v>
      </c>
      <c r="N78" s="73"/>
    </row>
    <row r="79" spans="2:14" ht="19.149999999999999" customHeight="1" x14ac:dyDescent="0.3">
      <c r="B79" s="48" t="s">
        <v>68</v>
      </c>
      <c r="C79" s="49"/>
      <c r="D79" s="50"/>
      <c r="F79" s="46">
        <v>4500</v>
      </c>
      <c r="G79" s="47"/>
      <c r="I79" s="48" t="s">
        <v>73</v>
      </c>
      <c r="J79" s="49"/>
      <c r="K79" s="50"/>
      <c r="L79" s="2"/>
      <c r="M79" s="46">
        <v>850</v>
      </c>
      <c r="N79" s="47"/>
    </row>
    <row r="80" spans="2:14" ht="19.149999999999999" customHeight="1" x14ac:dyDescent="0.3">
      <c r="B80" s="48" t="s">
        <v>69</v>
      </c>
      <c r="C80" s="49"/>
      <c r="D80" s="50"/>
      <c r="F80" s="46">
        <v>750</v>
      </c>
      <c r="G80" s="47"/>
      <c r="I80" s="48" t="s">
        <v>74</v>
      </c>
      <c r="J80" s="49"/>
      <c r="K80" s="50"/>
      <c r="L80" s="2"/>
      <c r="M80" s="46">
        <v>350</v>
      </c>
      <c r="N80" s="47"/>
    </row>
    <row r="81" spans="2:14" ht="19.149999999999999" customHeight="1" x14ac:dyDescent="0.3">
      <c r="B81" s="48" t="s">
        <v>70</v>
      </c>
      <c r="C81" s="49"/>
      <c r="D81" s="50"/>
      <c r="F81" s="46">
        <v>300</v>
      </c>
      <c r="G81" s="47"/>
      <c r="I81" s="48" t="s">
        <v>85</v>
      </c>
      <c r="J81" s="49"/>
      <c r="K81" s="50"/>
      <c r="L81" s="2"/>
      <c r="M81" s="46">
        <v>2800</v>
      </c>
      <c r="N81" s="47"/>
    </row>
    <row r="82" spans="2:14" ht="19.149999999999999" customHeight="1" x14ac:dyDescent="0.3">
      <c r="B82" s="48" t="s">
        <v>71</v>
      </c>
      <c r="C82" s="49"/>
      <c r="D82" s="50"/>
      <c r="F82" s="46">
        <v>500</v>
      </c>
      <c r="G82" s="47"/>
      <c r="I82" s="48" t="s">
        <v>72</v>
      </c>
      <c r="J82" s="49"/>
      <c r="K82" s="50"/>
      <c r="L82" s="2"/>
      <c r="M82" s="46">
        <v>100</v>
      </c>
      <c r="N82" s="47"/>
    </row>
    <row r="83" spans="2:14" ht="19.149999999999999" customHeight="1" x14ac:dyDescent="0.3">
      <c r="B83" s="48" t="s">
        <v>75</v>
      </c>
      <c r="C83" s="49"/>
      <c r="D83" s="50"/>
      <c r="F83" s="46">
        <v>400</v>
      </c>
      <c r="G83" s="47"/>
      <c r="I83" s="48" t="s">
        <v>76</v>
      </c>
      <c r="J83" s="49"/>
      <c r="K83" s="50"/>
      <c r="L83" s="2"/>
      <c r="M83" s="46">
        <v>350</v>
      </c>
      <c r="N83" s="47"/>
    </row>
    <row r="84" spans="2:14" ht="19.149999999999999" customHeight="1" x14ac:dyDescent="0.3">
      <c r="B84" s="48" t="s">
        <v>77</v>
      </c>
      <c r="C84" s="49"/>
      <c r="D84" s="50"/>
      <c r="F84" s="46">
        <v>1500</v>
      </c>
      <c r="G84" s="47"/>
      <c r="I84" s="48" t="s">
        <v>78</v>
      </c>
      <c r="J84" s="49"/>
      <c r="K84" s="50"/>
      <c r="L84" s="2"/>
      <c r="M84" s="46">
        <v>7500</v>
      </c>
      <c r="N84" s="47"/>
    </row>
    <row r="85" spans="2:14" ht="19.149999999999999" customHeight="1" x14ac:dyDescent="0.3">
      <c r="B85" s="48" t="s">
        <v>79</v>
      </c>
      <c r="C85" s="49"/>
      <c r="D85" s="50"/>
      <c r="F85" s="46">
        <v>1750</v>
      </c>
      <c r="G85" s="47"/>
      <c r="I85" s="48" t="s">
        <v>80</v>
      </c>
      <c r="J85" s="49"/>
      <c r="K85" s="50"/>
      <c r="L85" s="2"/>
      <c r="M85" s="46">
        <v>150</v>
      </c>
      <c r="N85" s="47"/>
    </row>
    <row r="86" spans="2:14" ht="19.149999999999999" customHeight="1" x14ac:dyDescent="0.3">
      <c r="B86" s="48" t="s">
        <v>81</v>
      </c>
      <c r="C86" s="49"/>
      <c r="D86" s="50"/>
      <c r="F86" s="46">
        <v>650</v>
      </c>
      <c r="G86" s="47"/>
      <c r="I86" s="48" t="s">
        <v>82</v>
      </c>
      <c r="J86" s="49"/>
      <c r="K86" s="50"/>
      <c r="L86" s="2"/>
      <c r="M86" s="46">
        <f>1212/2</f>
        <v>606</v>
      </c>
      <c r="N86" s="47"/>
    </row>
    <row r="87" spans="2:14" ht="19.149999999999999" customHeight="1" x14ac:dyDescent="0.3">
      <c r="B87" s="48" t="s">
        <v>83</v>
      </c>
      <c r="C87" s="49"/>
      <c r="D87" s="50"/>
      <c r="F87" s="46">
        <v>8100</v>
      </c>
      <c r="G87" s="47"/>
      <c r="I87" s="48" t="s">
        <v>87</v>
      </c>
      <c r="J87" s="49"/>
      <c r="K87" s="50"/>
      <c r="L87" s="2"/>
      <c r="M87" s="46">
        <v>2600</v>
      </c>
      <c r="N87" s="47"/>
    </row>
    <row r="88" spans="2:14" ht="19.149999999999999" customHeight="1" thickBot="1" x14ac:dyDescent="0.35">
      <c r="B88" s="21" t="s">
        <v>128</v>
      </c>
      <c r="C88" s="17"/>
      <c r="D88" s="17"/>
      <c r="E88" s="17"/>
      <c r="F88" s="17"/>
      <c r="G88" s="17"/>
      <c r="H88" s="17"/>
      <c r="I88" s="33" t="s">
        <v>172</v>
      </c>
      <c r="J88" s="17"/>
      <c r="K88" s="34">
        <v>4.4999999999999998E-2</v>
      </c>
      <c r="L88" s="2"/>
      <c r="M88" s="162">
        <f>SUM(F78:G87,M78:N87)*K88</f>
        <v>1798.02</v>
      </c>
      <c r="N88" s="163"/>
    </row>
    <row r="89" spans="2:14" ht="19.149999999999999" customHeight="1" thickBot="1" x14ac:dyDescent="0.35">
      <c r="B89" s="247" t="s">
        <v>86</v>
      </c>
      <c r="C89" s="248"/>
      <c r="D89" s="248"/>
      <c r="E89" s="248"/>
      <c r="F89" s="248"/>
      <c r="G89" s="248"/>
      <c r="H89" s="248"/>
      <c r="I89" s="126"/>
      <c r="J89" s="248"/>
      <c r="K89" s="248"/>
      <c r="L89" s="126"/>
      <c r="M89" s="126"/>
      <c r="N89" s="127"/>
    </row>
    <row r="90" spans="2:14" ht="19.149999999999999" customHeight="1" thickBot="1" x14ac:dyDescent="0.35">
      <c r="B90" s="67" t="s">
        <v>58</v>
      </c>
      <c r="C90" s="68"/>
      <c r="D90" s="68"/>
      <c r="E90" s="68"/>
      <c r="F90" s="68"/>
      <c r="G90" s="68"/>
      <c r="H90" s="69"/>
      <c r="I90" s="4"/>
      <c r="J90" s="231" t="s">
        <v>99</v>
      </c>
      <c r="K90" s="232"/>
      <c r="L90" s="18"/>
      <c r="M90" s="233">
        <f>M56</f>
        <v>3</v>
      </c>
      <c r="N90" s="234"/>
    </row>
    <row r="91" spans="2:14" ht="19.149999999999999" customHeight="1" thickBot="1" x14ac:dyDescent="0.35">
      <c r="B91" s="67" t="s">
        <v>32</v>
      </c>
      <c r="C91" s="68"/>
      <c r="D91" s="69"/>
      <c r="E91" s="4"/>
      <c r="F91" s="67" t="s">
        <v>95</v>
      </c>
      <c r="G91" s="68"/>
      <c r="H91" s="69"/>
      <c r="I91" s="4"/>
      <c r="J91" s="67" t="s">
        <v>96</v>
      </c>
      <c r="K91" s="69"/>
      <c r="L91" s="7"/>
      <c r="M91" s="67" t="s">
        <v>88</v>
      </c>
      <c r="N91" s="69"/>
    </row>
    <row r="92" spans="2:14" ht="19.149999999999999" customHeight="1" x14ac:dyDescent="0.3">
      <c r="B92" s="57" t="s">
        <v>89</v>
      </c>
      <c r="C92" s="58"/>
      <c r="D92" s="59"/>
      <c r="F92" s="72">
        <v>7.9</v>
      </c>
      <c r="G92" s="230"/>
      <c r="H92" s="73"/>
      <c r="J92" s="237">
        <v>2</v>
      </c>
      <c r="K92" s="238"/>
      <c r="L92" s="2"/>
      <c r="M92" s="235">
        <f t="shared" ref="M92:M98" si="0">F92*J92/12</f>
        <v>1.3166666666666667</v>
      </c>
      <c r="N92" s="236"/>
    </row>
    <row r="93" spans="2:14" ht="19.149999999999999" customHeight="1" x14ac:dyDescent="0.3">
      <c r="B93" s="48" t="s">
        <v>90</v>
      </c>
      <c r="C93" s="49"/>
      <c r="D93" s="50"/>
      <c r="F93" s="46">
        <v>32.94</v>
      </c>
      <c r="G93" s="159"/>
      <c r="H93" s="47"/>
      <c r="J93" s="53">
        <v>4</v>
      </c>
      <c r="K93" s="54"/>
      <c r="L93" s="2"/>
      <c r="M93" s="51">
        <f t="shared" si="0"/>
        <v>10.979999999999999</v>
      </c>
      <c r="N93" s="52"/>
    </row>
    <row r="94" spans="2:14" ht="19.149999999999999" customHeight="1" x14ac:dyDescent="0.3">
      <c r="B94" s="48" t="s">
        <v>91</v>
      </c>
      <c r="C94" s="49"/>
      <c r="D94" s="50"/>
      <c r="F94" s="46">
        <v>65.5</v>
      </c>
      <c r="G94" s="159"/>
      <c r="H94" s="47"/>
      <c r="J94" s="53">
        <v>4</v>
      </c>
      <c r="K94" s="54"/>
      <c r="L94" s="2"/>
      <c r="M94" s="51">
        <f t="shared" si="0"/>
        <v>21.833333333333332</v>
      </c>
      <c r="N94" s="52"/>
    </row>
    <row r="95" spans="2:14" ht="19.149999999999999" customHeight="1" x14ac:dyDescent="0.3">
      <c r="B95" s="48" t="s">
        <v>92</v>
      </c>
      <c r="C95" s="49"/>
      <c r="D95" s="50"/>
      <c r="F95" s="46">
        <v>39.880000000000003</v>
      </c>
      <c r="G95" s="159"/>
      <c r="H95" s="47"/>
      <c r="J95" s="53">
        <v>4</v>
      </c>
      <c r="K95" s="54"/>
      <c r="L95" s="2"/>
      <c r="M95" s="51">
        <f t="shared" si="0"/>
        <v>13.293333333333335</v>
      </c>
      <c r="N95" s="52"/>
    </row>
    <row r="96" spans="2:14" ht="19.149999999999999" customHeight="1" x14ac:dyDescent="0.3">
      <c r="B96" s="48" t="s">
        <v>93</v>
      </c>
      <c r="C96" s="49"/>
      <c r="D96" s="50"/>
      <c r="F96" s="46">
        <v>31.9</v>
      </c>
      <c r="G96" s="159"/>
      <c r="H96" s="47"/>
      <c r="J96" s="53">
        <v>4</v>
      </c>
      <c r="K96" s="54"/>
      <c r="L96" s="2"/>
      <c r="M96" s="51">
        <f t="shared" si="0"/>
        <v>10.633333333333333</v>
      </c>
      <c r="N96" s="52"/>
    </row>
    <row r="97" spans="2:14" ht="19.149999999999999" customHeight="1" x14ac:dyDescent="0.3">
      <c r="B97" s="48" t="s">
        <v>94</v>
      </c>
      <c r="C97" s="49"/>
      <c r="D97" s="50"/>
      <c r="F97" s="46">
        <v>7.8</v>
      </c>
      <c r="G97" s="159"/>
      <c r="H97" s="47"/>
      <c r="J97" s="53">
        <v>6</v>
      </c>
      <c r="K97" s="54"/>
      <c r="L97" s="2"/>
      <c r="M97" s="51">
        <f t="shared" si="0"/>
        <v>3.9</v>
      </c>
      <c r="N97" s="52"/>
    </row>
    <row r="98" spans="2:14" ht="19.149999999999999" customHeight="1" x14ac:dyDescent="0.3">
      <c r="B98" s="48" t="s">
        <v>151</v>
      </c>
      <c r="C98" s="49"/>
      <c r="D98" s="50"/>
      <c r="F98" s="46">
        <v>21.65</v>
      </c>
      <c r="G98" s="159"/>
      <c r="H98" s="47"/>
      <c r="J98" s="53">
        <v>12</v>
      </c>
      <c r="K98" s="54"/>
      <c r="L98" s="2"/>
      <c r="M98" s="51">
        <f t="shared" si="0"/>
        <v>21.649999999999995</v>
      </c>
      <c r="N98" s="52"/>
    </row>
    <row r="99" spans="2:14" ht="19.149999999999999" customHeight="1" x14ac:dyDescent="0.3">
      <c r="H99" s="134" t="s">
        <v>97</v>
      </c>
      <c r="I99" s="135"/>
      <c r="J99" s="135"/>
      <c r="K99" s="143"/>
      <c r="L99" s="2"/>
      <c r="M99" s="51">
        <f>SUM(M92:N98)</f>
        <v>83.606666666666655</v>
      </c>
      <c r="N99" s="52"/>
    </row>
    <row r="100" spans="2:14" ht="19.149999999999999" customHeight="1" x14ac:dyDescent="0.3">
      <c r="H100" s="134" t="s">
        <v>98</v>
      </c>
      <c r="I100" s="135"/>
      <c r="J100" s="135"/>
      <c r="K100" s="143"/>
      <c r="L100" s="2"/>
      <c r="M100" s="144">
        <f>M99*M90</f>
        <v>250.81999999999996</v>
      </c>
      <c r="N100" s="145"/>
    </row>
    <row r="101" spans="2:14" ht="19.149999999999999" customHeight="1" x14ac:dyDescent="0.3">
      <c r="B101" s="104" t="s">
        <v>57</v>
      </c>
      <c r="C101" s="105"/>
      <c r="D101" s="105"/>
      <c r="E101" s="105"/>
      <c r="F101" s="105"/>
      <c r="G101" s="105"/>
      <c r="H101" s="106"/>
      <c r="J101" s="102" t="s">
        <v>34</v>
      </c>
      <c r="K101" s="103"/>
      <c r="L101" s="8"/>
      <c r="M101" s="239">
        <f>M38</f>
        <v>1</v>
      </c>
      <c r="N101" s="240"/>
    </row>
    <row r="102" spans="2:14" ht="19.149999999999999" customHeight="1" x14ac:dyDescent="0.3">
      <c r="B102" s="104" t="s">
        <v>32</v>
      </c>
      <c r="C102" s="105"/>
      <c r="D102" s="106"/>
      <c r="E102" s="4"/>
      <c r="F102" s="104" t="s">
        <v>95</v>
      </c>
      <c r="G102" s="105"/>
      <c r="H102" s="106"/>
      <c r="I102" s="4"/>
      <c r="J102" s="104" t="s">
        <v>96</v>
      </c>
      <c r="K102" s="106"/>
      <c r="L102" s="7"/>
      <c r="M102" s="104" t="s">
        <v>88</v>
      </c>
      <c r="N102" s="106"/>
    </row>
    <row r="103" spans="2:14" ht="19.149999999999999" customHeight="1" x14ac:dyDescent="0.3">
      <c r="B103" s="48" t="s">
        <v>89</v>
      </c>
      <c r="C103" s="49"/>
      <c r="D103" s="50"/>
      <c r="F103" s="46">
        <f>F92</f>
        <v>7.9</v>
      </c>
      <c r="G103" s="159"/>
      <c r="H103" s="47"/>
      <c r="J103" s="53">
        <v>2</v>
      </c>
      <c r="K103" s="54"/>
      <c r="L103" s="2"/>
      <c r="M103" s="51">
        <f>F103*J103/12</f>
        <v>1.3166666666666667</v>
      </c>
      <c r="N103" s="52"/>
    </row>
    <row r="104" spans="2:14" ht="19.149999999999999" customHeight="1" x14ac:dyDescent="0.3">
      <c r="B104" s="48" t="s">
        <v>90</v>
      </c>
      <c r="C104" s="49"/>
      <c r="D104" s="50"/>
      <c r="F104" s="46">
        <f>F93</f>
        <v>32.94</v>
      </c>
      <c r="G104" s="159"/>
      <c r="H104" s="47"/>
      <c r="J104" s="53">
        <v>4</v>
      </c>
      <c r="K104" s="54"/>
      <c r="L104" s="2"/>
      <c r="M104" s="51">
        <f>F104*J104/12</f>
        <v>10.979999999999999</v>
      </c>
      <c r="N104" s="52"/>
    </row>
    <row r="105" spans="2:14" ht="19.149999999999999" customHeight="1" x14ac:dyDescent="0.3">
      <c r="B105" s="48" t="s">
        <v>91</v>
      </c>
      <c r="C105" s="49"/>
      <c r="D105" s="50"/>
      <c r="F105" s="46">
        <f>F94</f>
        <v>65.5</v>
      </c>
      <c r="G105" s="159"/>
      <c r="H105" s="47"/>
      <c r="J105" s="53">
        <v>3</v>
      </c>
      <c r="K105" s="54"/>
      <c r="L105" s="2"/>
      <c r="M105" s="51">
        <f>F105*J105/12</f>
        <v>16.375</v>
      </c>
      <c r="N105" s="52"/>
    </row>
    <row r="106" spans="2:14" ht="19.149999999999999" customHeight="1" x14ac:dyDescent="0.3">
      <c r="B106" s="48" t="s">
        <v>92</v>
      </c>
      <c r="C106" s="49"/>
      <c r="D106" s="50"/>
      <c r="F106" s="46">
        <f>F95</f>
        <v>39.880000000000003</v>
      </c>
      <c r="G106" s="159"/>
      <c r="H106" s="47"/>
      <c r="J106" s="53">
        <v>4</v>
      </c>
      <c r="K106" s="54"/>
      <c r="L106" s="2"/>
      <c r="M106" s="51">
        <f>F106*J106/12</f>
        <v>13.293333333333335</v>
      </c>
      <c r="N106" s="52"/>
    </row>
    <row r="107" spans="2:14" ht="19.149999999999999" customHeight="1" x14ac:dyDescent="0.3">
      <c r="B107" s="48" t="s">
        <v>93</v>
      </c>
      <c r="C107" s="49"/>
      <c r="D107" s="50"/>
      <c r="F107" s="46">
        <f>F96</f>
        <v>31.9</v>
      </c>
      <c r="G107" s="159"/>
      <c r="H107" s="47"/>
      <c r="J107" s="53">
        <v>4</v>
      </c>
      <c r="K107" s="54"/>
      <c r="L107" s="2"/>
      <c r="M107" s="51">
        <f>F107*J107/12</f>
        <v>10.633333333333333</v>
      </c>
      <c r="N107" s="52"/>
    </row>
    <row r="108" spans="2:14" ht="19.149999999999999" customHeight="1" x14ac:dyDescent="0.3">
      <c r="H108" s="134" t="s">
        <v>100</v>
      </c>
      <c r="I108" s="135"/>
      <c r="J108" s="135"/>
      <c r="K108" s="143"/>
      <c r="L108" s="2"/>
      <c r="M108" s="51">
        <f>SUM(M103:N107)</f>
        <v>52.598333333333336</v>
      </c>
      <c r="N108" s="52"/>
    </row>
    <row r="109" spans="2:14" ht="19.149999999999999" customHeight="1" x14ac:dyDescent="0.3">
      <c r="H109" s="134" t="s">
        <v>98</v>
      </c>
      <c r="I109" s="135"/>
      <c r="J109" s="135"/>
      <c r="K109" s="143"/>
      <c r="L109" s="2"/>
      <c r="M109" s="144">
        <f>M108*M101</f>
        <v>52.598333333333336</v>
      </c>
      <c r="N109" s="145"/>
    </row>
    <row r="110" spans="2:14" ht="19.149999999999999" customHeight="1" thickBot="1" x14ac:dyDescent="0.35">
      <c r="B110" s="155" t="s">
        <v>127</v>
      </c>
      <c r="C110" s="156"/>
      <c r="D110" s="156"/>
      <c r="E110" s="156"/>
      <c r="F110" s="156"/>
      <c r="G110" s="156"/>
      <c r="H110" s="156"/>
      <c r="I110" s="156"/>
      <c r="J110" s="156"/>
      <c r="K110" s="167"/>
      <c r="L110" s="2"/>
      <c r="M110" s="162">
        <f>M100+M109</f>
        <v>303.41833333333329</v>
      </c>
      <c r="N110" s="163"/>
    </row>
    <row r="111" spans="2:14" ht="19.149999999999999" customHeight="1" thickBot="1" x14ac:dyDescent="0.35">
      <c r="B111" s="125" t="s">
        <v>103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7"/>
    </row>
    <row r="112" spans="2:14" ht="19.149999999999999" customHeight="1" thickBot="1" x14ac:dyDescent="0.35">
      <c r="B112" s="164" t="s">
        <v>152</v>
      </c>
      <c r="C112" s="165"/>
      <c r="D112" s="166"/>
      <c r="E112" s="41">
        <v>1</v>
      </c>
      <c r="F112" s="40">
        <v>0.25</v>
      </c>
      <c r="H112" s="164" t="s">
        <v>168</v>
      </c>
      <c r="I112" s="165"/>
      <c r="J112" s="165"/>
      <c r="K112" s="165"/>
      <c r="L112" s="166"/>
      <c r="M112" s="160">
        <v>630</v>
      </c>
      <c r="N112" s="161"/>
    </row>
    <row r="113" spans="2:14" s="13" customFormat="1" ht="32.25" customHeight="1" thickBot="1" x14ac:dyDescent="0.3">
      <c r="B113" s="182" t="s">
        <v>108</v>
      </c>
      <c r="C113" s="184"/>
      <c r="D113" s="183"/>
      <c r="E113" s="182" t="s">
        <v>107</v>
      </c>
      <c r="F113" s="183"/>
      <c r="H113" s="180" t="s">
        <v>106</v>
      </c>
      <c r="I113" s="181"/>
      <c r="K113" s="20" t="s">
        <v>105</v>
      </c>
      <c r="L113" s="14"/>
      <c r="M113" s="180" t="s">
        <v>104</v>
      </c>
      <c r="N113" s="181"/>
    </row>
    <row r="114" spans="2:14" ht="19.149999999999999" customHeight="1" x14ac:dyDescent="0.3">
      <c r="B114" s="57" t="s">
        <v>109</v>
      </c>
      <c r="C114" s="58"/>
      <c r="D114" s="58"/>
      <c r="E114" s="176">
        <f>1/2</f>
        <v>0.5</v>
      </c>
      <c r="F114" s="177"/>
      <c r="H114" s="178">
        <v>5.97</v>
      </c>
      <c r="I114" s="179"/>
      <c r="K114" s="19">
        <f>M112*E114*H114*E112</f>
        <v>1880.55</v>
      </c>
      <c r="L114" s="2"/>
      <c r="M114" s="174">
        <f>K114/M112</f>
        <v>2.9849999999999999</v>
      </c>
      <c r="N114" s="175"/>
    </row>
    <row r="115" spans="2:14" ht="19.149999999999999" customHeight="1" x14ac:dyDescent="0.3">
      <c r="B115" s="48" t="s">
        <v>110</v>
      </c>
      <c r="C115" s="49"/>
      <c r="D115" s="49"/>
      <c r="E115" s="170">
        <v>0.01</v>
      </c>
      <c r="F115" s="171"/>
      <c r="H115" s="172">
        <v>21.5</v>
      </c>
      <c r="I115" s="173"/>
      <c r="K115" s="10">
        <f>M112*E115*H115*E112</f>
        <v>135.44999999999999</v>
      </c>
      <c r="L115" s="2"/>
      <c r="M115" s="168">
        <f>K115/M112</f>
        <v>0.21499999999999997</v>
      </c>
      <c r="N115" s="169"/>
    </row>
    <row r="116" spans="2:14" ht="19.149999999999999" customHeight="1" x14ac:dyDescent="0.3">
      <c r="B116" s="48" t="s">
        <v>111</v>
      </c>
      <c r="C116" s="49"/>
      <c r="D116" s="49"/>
      <c r="E116" s="170">
        <v>5</v>
      </c>
      <c r="F116" s="171"/>
      <c r="H116" s="172">
        <v>150</v>
      </c>
      <c r="I116" s="173"/>
      <c r="K116" s="10">
        <f>H116*E116*E112</f>
        <v>750</v>
      </c>
      <c r="L116" s="2"/>
      <c r="M116" s="168">
        <f>K116/M112</f>
        <v>1.1904761904761905</v>
      </c>
      <c r="N116" s="169"/>
    </row>
    <row r="117" spans="2:14" ht="19.149999999999999" customHeight="1" x14ac:dyDescent="0.3">
      <c r="B117" s="48" t="s">
        <v>112</v>
      </c>
      <c r="C117" s="49"/>
      <c r="D117" s="49"/>
      <c r="E117" s="170">
        <f>1/12</f>
        <v>8.3333333333333329E-2</v>
      </c>
      <c r="F117" s="171"/>
      <c r="H117" s="172">
        <v>9500</v>
      </c>
      <c r="I117" s="173"/>
      <c r="K117" s="10">
        <f>(E117*H117)*E112</f>
        <v>791.66666666666663</v>
      </c>
      <c r="L117" s="2"/>
      <c r="M117" s="168">
        <f>K117/M112</f>
        <v>1.2566137566137565</v>
      </c>
      <c r="N117" s="169"/>
    </row>
    <row r="118" spans="2:14" ht="19.149999999999999" customHeight="1" x14ac:dyDescent="0.3">
      <c r="B118" s="48" t="s">
        <v>113</v>
      </c>
      <c r="C118" s="49"/>
      <c r="D118" s="49"/>
      <c r="E118" s="170">
        <f>M112/20000</f>
        <v>3.15E-2</v>
      </c>
      <c r="F118" s="171"/>
      <c r="H118" s="172">
        <v>3500</v>
      </c>
      <c r="I118" s="173"/>
      <c r="K118" s="10">
        <f>E118*H118*E112</f>
        <v>110.25</v>
      </c>
      <c r="L118" s="2"/>
      <c r="M118" s="168">
        <f>K118/M112</f>
        <v>0.17499999999999999</v>
      </c>
      <c r="N118" s="169"/>
    </row>
    <row r="119" spans="2:14" ht="19.149999999999999" customHeight="1" x14ac:dyDescent="0.3">
      <c r="B119" s="48" t="s">
        <v>114</v>
      </c>
      <c r="C119" s="49"/>
      <c r="D119" s="49"/>
      <c r="E119" s="170">
        <f>((E112*6)*M112)/(1*35000)</f>
        <v>0.108</v>
      </c>
      <c r="F119" s="171"/>
      <c r="H119" s="172">
        <v>3150</v>
      </c>
      <c r="I119" s="173"/>
      <c r="K119" s="10">
        <f>H119*E119</f>
        <v>340.2</v>
      </c>
      <c r="L119" s="2"/>
      <c r="M119" s="168">
        <f>K119/M112</f>
        <v>0.54</v>
      </c>
      <c r="N119" s="169"/>
    </row>
    <row r="120" spans="2:14" ht="19.149999999999999" customHeight="1" x14ac:dyDescent="0.3">
      <c r="B120" s="48" t="s">
        <v>115</v>
      </c>
      <c r="C120" s="49"/>
      <c r="D120" s="49"/>
      <c r="E120" s="170">
        <f>((E112*6)*M112)/(1*32000)</f>
        <v>0.11812499999999999</v>
      </c>
      <c r="F120" s="171"/>
      <c r="H120" s="172">
        <v>850</v>
      </c>
      <c r="I120" s="173"/>
      <c r="K120" s="10">
        <f>H120*E120</f>
        <v>100.40625</v>
      </c>
      <c r="L120" s="2"/>
      <c r="M120" s="168">
        <f>K120/M112</f>
        <v>0.15937499999999999</v>
      </c>
      <c r="N120" s="169"/>
    </row>
    <row r="121" spans="2:14" ht="19.149999999999999" customHeight="1" x14ac:dyDescent="0.3">
      <c r="B121" s="99"/>
      <c r="C121" s="99"/>
      <c r="D121" s="99"/>
      <c r="E121" s="99"/>
      <c r="F121" s="99"/>
      <c r="G121" s="99"/>
      <c r="H121" s="134" t="s">
        <v>116</v>
      </c>
      <c r="I121" s="135"/>
      <c r="J121" s="135"/>
      <c r="K121" s="135"/>
      <c r="L121" s="6"/>
      <c r="M121" s="185">
        <f>SUM(M114:N120)</f>
        <v>6.521464947089946</v>
      </c>
      <c r="N121" s="133"/>
    </row>
    <row r="122" spans="2:14" ht="19.149999999999999" customHeight="1" thickBot="1" x14ac:dyDescent="0.35">
      <c r="B122" s="155" t="s">
        <v>129</v>
      </c>
      <c r="C122" s="156"/>
      <c r="D122" s="156"/>
      <c r="E122" s="156"/>
      <c r="F122" s="156"/>
      <c r="G122" s="156"/>
      <c r="H122" s="156"/>
      <c r="I122" s="156"/>
      <c r="J122" s="156"/>
      <c r="K122" s="167"/>
      <c r="L122" s="2"/>
      <c r="M122" s="162">
        <f>M121*M112*F112</f>
        <v>1027.1307291666665</v>
      </c>
      <c r="N122" s="163"/>
    </row>
    <row r="123" spans="2:14" ht="19.149999999999999" customHeight="1" thickBot="1" x14ac:dyDescent="0.35">
      <c r="B123" s="125" t="s">
        <v>117</v>
      </c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7"/>
    </row>
    <row r="124" spans="2:14" ht="19.149999999999999" customHeight="1" thickBot="1" x14ac:dyDescent="0.35">
      <c r="B124" s="164" t="s">
        <v>164</v>
      </c>
      <c r="C124" s="165"/>
      <c r="D124" s="166"/>
      <c r="E124" s="39">
        <f>E112</f>
        <v>1</v>
      </c>
      <c r="F124" s="38">
        <v>0.25</v>
      </c>
      <c r="G124" s="76"/>
      <c r="H124" s="76"/>
      <c r="I124" s="76"/>
      <c r="J124" s="76"/>
      <c r="K124" s="76"/>
      <c r="L124" s="2"/>
      <c r="M124" s="186"/>
      <c r="N124" s="186"/>
    </row>
    <row r="125" spans="2:14" ht="19.149999999999999" customHeight="1" x14ac:dyDescent="0.3">
      <c r="B125" s="76"/>
      <c r="C125" s="76"/>
      <c r="D125" s="76"/>
      <c r="E125" s="76"/>
      <c r="F125" s="76"/>
      <c r="G125" s="76"/>
      <c r="H125" s="76"/>
      <c r="I125" s="76"/>
      <c r="L125" s="12"/>
      <c r="M125" s="71" t="s">
        <v>1</v>
      </c>
      <c r="N125" s="71"/>
    </row>
    <row r="126" spans="2:14" ht="19.149999999999999" customHeight="1" x14ac:dyDescent="0.3">
      <c r="B126" s="101" t="s">
        <v>140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9"/>
      <c r="M126" s="46">
        <v>430000</v>
      </c>
      <c r="N126" s="47"/>
    </row>
    <row r="127" spans="2:14" ht="19.149999999999999" customHeight="1" x14ac:dyDescent="0.3">
      <c r="B127" s="101" t="s">
        <v>118</v>
      </c>
      <c r="C127" s="101"/>
      <c r="D127" s="101"/>
      <c r="E127" s="101"/>
      <c r="F127" s="101"/>
      <c r="G127" s="101"/>
      <c r="H127" s="101"/>
      <c r="I127" s="101"/>
      <c r="J127" s="101"/>
      <c r="K127" s="101"/>
      <c r="M127" s="53">
        <v>72</v>
      </c>
      <c r="N127" s="54"/>
    </row>
    <row r="128" spans="2:14" ht="19.149999999999999" customHeight="1" x14ac:dyDescent="0.3">
      <c r="B128" s="101" t="s">
        <v>119</v>
      </c>
      <c r="C128" s="101"/>
      <c r="D128" s="101"/>
      <c r="E128" s="101"/>
      <c r="F128" s="101"/>
      <c r="G128" s="101"/>
      <c r="H128" s="101"/>
      <c r="I128" s="101"/>
      <c r="J128" s="101"/>
      <c r="K128" s="101"/>
      <c r="M128" s="138">
        <v>0.5</v>
      </c>
      <c r="N128" s="189"/>
    </row>
    <row r="129" spans="2:14" ht="19.149999999999999" customHeight="1" x14ac:dyDescent="0.3">
      <c r="B129" s="101" t="s">
        <v>162</v>
      </c>
      <c r="C129" s="101"/>
      <c r="D129" s="101"/>
      <c r="E129" s="101"/>
      <c r="F129" s="101"/>
      <c r="G129" s="101"/>
      <c r="H129" s="101"/>
      <c r="I129" s="101"/>
      <c r="J129" s="101"/>
      <c r="K129" s="101"/>
      <c r="L129" s="11"/>
      <c r="M129" s="187">
        <v>0.55000000000000004</v>
      </c>
      <c r="N129" s="188"/>
    </row>
    <row r="130" spans="2:14" ht="19.149999999999999" customHeight="1" x14ac:dyDescent="0.3">
      <c r="B130" s="101" t="s">
        <v>163</v>
      </c>
      <c r="C130" s="101"/>
      <c r="D130" s="101"/>
      <c r="E130" s="101"/>
      <c r="F130" s="101"/>
      <c r="G130" s="101"/>
      <c r="H130" s="101"/>
      <c r="I130" s="101"/>
      <c r="J130" s="101"/>
      <c r="K130" s="101"/>
      <c r="L130" s="9"/>
      <c r="M130" s="51">
        <f>(M126*M129/M127)*E124</f>
        <v>3284.7222222222226</v>
      </c>
      <c r="N130" s="52"/>
    </row>
    <row r="131" spans="2:14" ht="19.149999999999999" customHeight="1" x14ac:dyDescent="0.3">
      <c r="B131" s="101" t="s">
        <v>120</v>
      </c>
      <c r="C131" s="101"/>
      <c r="D131" s="101"/>
      <c r="E131" s="101"/>
      <c r="F131" s="101"/>
      <c r="G131" s="101"/>
      <c r="H131" s="101"/>
      <c r="I131" s="101"/>
      <c r="J131" s="101"/>
      <c r="K131" s="101"/>
      <c r="L131" s="9"/>
      <c r="M131" s="51">
        <f>(M126-(M126*M128))*E124/M127</f>
        <v>2986.1111111111113</v>
      </c>
      <c r="N131" s="52"/>
    </row>
    <row r="132" spans="2:14" ht="19.149999999999999" customHeight="1" x14ac:dyDescent="0.3">
      <c r="B132" s="101" t="s">
        <v>121</v>
      </c>
      <c r="C132" s="101"/>
      <c r="D132" s="101"/>
      <c r="E132" s="101"/>
      <c r="F132" s="101"/>
      <c r="G132" s="101"/>
      <c r="H132" s="101"/>
      <c r="I132" s="101"/>
      <c r="J132" s="101"/>
      <c r="K132" s="101"/>
      <c r="L132" s="9"/>
      <c r="M132" s="51">
        <f>(PMT(M133,M127,M126)*E124*M127+(M126*E124))/M127 *(-1)</f>
        <v>2842.2612514029042</v>
      </c>
      <c r="N132" s="52"/>
    </row>
    <row r="133" spans="2:14" ht="19.149999999999999" customHeight="1" x14ac:dyDescent="0.3">
      <c r="B133" s="101" t="s">
        <v>153</v>
      </c>
      <c r="C133" s="101"/>
      <c r="D133" s="101"/>
      <c r="E133" s="101"/>
      <c r="F133" s="101"/>
      <c r="G133" s="101"/>
      <c r="H133" s="101"/>
      <c r="I133" s="101"/>
      <c r="J133" s="101"/>
      <c r="K133" s="101"/>
      <c r="L133" s="9"/>
      <c r="M133" s="55">
        <v>1.15E-2</v>
      </c>
      <c r="N133" s="47"/>
    </row>
    <row r="134" spans="2:14" ht="19.149999999999999" customHeight="1" x14ac:dyDescent="0.3">
      <c r="B134" s="101" t="s">
        <v>122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9"/>
      <c r="M134" s="190">
        <f>M132</f>
        <v>2842.2612514029042</v>
      </c>
      <c r="N134" s="131"/>
    </row>
    <row r="135" spans="2:14" ht="19.149999999999999" customHeight="1" thickBot="1" x14ac:dyDescent="0.35">
      <c r="I135" s="191" t="s">
        <v>123</v>
      </c>
      <c r="J135" s="192"/>
      <c r="K135" s="192"/>
      <c r="L135" s="3"/>
      <c r="M135" s="185">
        <f>((M134+M130+M131))*F124</f>
        <v>2278.2736461840595</v>
      </c>
      <c r="N135" s="133"/>
    </row>
    <row r="136" spans="2:14" ht="19.149999999999999" customHeight="1" thickBot="1" x14ac:dyDescent="0.35">
      <c r="B136" s="164" t="s">
        <v>165</v>
      </c>
      <c r="C136" s="165"/>
      <c r="D136" s="166"/>
      <c r="E136" s="37">
        <f>E124</f>
        <v>1</v>
      </c>
      <c r="F136" s="36">
        <v>0.25</v>
      </c>
      <c r="G136" s="76"/>
      <c r="H136" s="76"/>
      <c r="I136" s="76"/>
      <c r="J136" s="76"/>
      <c r="K136" s="76"/>
      <c r="L136" s="2"/>
      <c r="M136" s="186"/>
      <c r="N136" s="186"/>
    </row>
    <row r="137" spans="2:14" ht="19.149999999999999" customHeight="1" x14ac:dyDescent="0.3">
      <c r="B137" s="76"/>
      <c r="C137" s="76"/>
      <c r="D137" s="76"/>
      <c r="E137" s="76"/>
      <c r="F137" s="76"/>
      <c r="G137" s="76"/>
      <c r="H137" s="76"/>
      <c r="I137" s="76"/>
      <c r="L137" s="12"/>
      <c r="M137" s="71" t="s">
        <v>1</v>
      </c>
      <c r="N137" s="71"/>
    </row>
    <row r="138" spans="2:14" ht="19.149999999999999" customHeight="1" x14ac:dyDescent="0.3">
      <c r="B138" s="101" t="s">
        <v>141</v>
      </c>
      <c r="C138" s="101"/>
      <c r="D138" s="101"/>
      <c r="E138" s="101"/>
      <c r="F138" s="101"/>
      <c r="G138" s="101"/>
      <c r="H138" s="101"/>
      <c r="I138" s="101"/>
      <c r="J138" s="101"/>
      <c r="K138" s="101"/>
      <c r="L138" s="9"/>
      <c r="M138" s="46">
        <v>80000</v>
      </c>
      <c r="N138" s="47"/>
    </row>
    <row r="139" spans="2:14" ht="19.149999999999999" customHeight="1" x14ac:dyDescent="0.3">
      <c r="B139" s="101" t="s">
        <v>118</v>
      </c>
      <c r="C139" s="101"/>
      <c r="D139" s="101"/>
      <c r="E139" s="101"/>
      <c r="F139" s="101"/>
      <c r="G139" s="101"/>
      <c r="H139" s="101"/>
      <c r="I139" s="101"/>
      <c r="J139" s="101"/>
      <c r="K139" s="101"/>
      <c r="M139" s="53">
        <v>120</v>
      </c>
      <c r="N139" s="54"/>
    </row>
    <row r="140" spans="2:14" ht="19.149999999999999" customHeight="1" x14ac:dyDescent="0.3">
      <c r="B140" s="101" t="s">
        <v>119</v>
      </c>
      <c r="C140" s="101"/>
      <c r="D140" s="101"/>
      <c r="E140" s="101"/>
      <c r="F140" s="101"/>
      <c r="G140" s="101"/>
      <c r="H140" s="101"/>
      <c r="I140" s="101"/>
      <c r="J140" s="101"/>
      <c r="K140" s="101"/>
      <c r="M140" s="138">
        <v>0.1</v>
      </c>
      <c r="N140" s="189"/>
    </row>
    <row r="141" spans="2:14" ht="19.149999999999999" customHeight="1" x14ac:dyDescent="0.3">
      <c r="B141" s="101" t="s">
        <v>162</v>
      </c>
      <c r="C141" s="101"/>
      <c r="D141" s="101"/>
      <c r="E141" s="101"/>
      <c r="F141" s="101"/>
      <c r="G141" s="101"/>
      <c r="H141" s="101"/>
      <c r="I141" s="101"/>
      <c r="J141" s="101"/>
      <c r="K141" s="101"/>
      <c r="L141" s="11"/>
      <c r="M141" s="187">
        <v>0.75</v>
      </c>
      <c r="N141" s="188"/>
    </row>
    <row r="142" spans="2:14" ht="19.149999999999999" customHeight="1" x14ac:dyDescent="0.3">
      <c r="B142" s="101" t="s">
        <v>163</v>
      </c>
      <c r="C142" s="101"/>
      <c r="D142" s="101"/>
      <c r="E142" s="101"/>
      <c r="F142" s="101"/>
      <c r="G142" s="101"/>
      <c r="H142" s="101"/>
      <c r="I142" s="101"/>
      <c r="J142" s="101"/>
      <c r="K142" s="101"/>
      <c r="L142" s="9"/>
      <c r="M142" s="51">
        <f>(M138*M141/M139)*E136</f>
        <v>500</v>
      </c>
      <c r="N142" s="52"/>
    </row>
    <row r="143" spans="2:14" ht="19.149999999999999" customHeight="1" x14ac:dyDescent="0.3">
      <c r="B143" s="101" t="s">
        <v>120</v>
      </c>
      <c r="C143" s="101"/>
      <c r="D143" s="101"/>
      <c r="E143" s="101"/>
      <c r="F143" s="101"/>
      <c r="G143" s="101"/>
      <c r="H143" s="101"/>
      <c r="I143" s="101"/>
      <c r="J143" s="101"/>
      <c r="K143" s="101"/>
      <c r="L143" s="9"/>
      <c r="M143" s="51">
        <f>(M138-(M138*M140))*E136/M139</f>
        <v>600</v>
      </c>
      <c r="N143" s="52"/>
    </row>
    <row r="144" spans="2:14" ht="19.149999999999999" customHeight="1" x14ac:dyDescent="0.3">
      <c r="B144" s="101" t="s">
        <v>121</v>
      </c>
      <c r="C144" s="101"/>
      <c r="D144" s="101"/>
      <c r="E144" s="101"/>
      <c r="F144" s="101"/>
      <c r="G144" s="101"/>
      <c r="H144" s="101"/>
      <c r="I144" s="101"/>
      <c r="J144" s="101"/>
      <c r="K144" s="101"/>
      <c r="L144" s="9"/>
      <c r="M144" s="51">
        <f>(PMT(M145,M139,M138)*E136*M139+(M138*E136))/M139 *(-1)</f>
        <v>565.86269136181943</v>
      </c>
      <c r="N144" s="52"/>
    </row>
    <row r="145" spans="2:15" ht="19.149999999999999" customHeight="1" x14ac:dyDescent="0.3">
      <c r="B145" s="101" t="s">
        <v>153</v>
      </c>
      <c r="C145" s="101"/>
      <c r="D145" s="101"/>
      <c r="E145" s="101"/>
      <c r="F145" s="101"/>
      <c r="G145" s="101"/>
      <c r="H145" s="101"/>
      <c r="I145" s="101"/>
      <c r="J145" s="101"/>
      <c r="K145" s="101"/>
      <c r="L145" s="9"/>
      <c r="M145" s="55">
        <v>1.15E-2</v>
      </c>
      <c r="N145" s="47"/>
    </row>
    <row r="146" spans="2:15" ht="19.149999999999999" customHeight="1" x14ac:dyDescent="0.3">
      <c r="B146" s="101" t="s">
        <v>122</v>
      </c>
      <c r="C146" s="101"/>
      <c r="D146" s="101"/>
      <c r="E146" s="101"/>
      <c r="F146" s="101"/>
      <c r="G146" s="101"/>
      <c r="H146" s="101"/>
      <c r="I146" s="101"/>
      <c r="J146" s="101"/>
      <c r="K146" s="101"/>
      <c r="L146" s="9"/>
      <c r="M146" s="190">
        <f>M144</f>
        <v>565.86269136181943</v>
      </c>
      <c r="N146" s="131"/>
    </row>
    <row r="147" spans="2:15" ht="19.149999999999999" customHeight="1" x14ac:dyDescent="0.3">
      <c r="I147" s="191" t="s">
        <v>123</v>
      </c>
      <c r="J147" s="192"/>
      <c r="K147" s="192"/>
      <c r="L147" s="3"/>
      <c r="M147" s="185">
        <f>(M146+M142+M143)*F136</f>
        <v>416.46567284045489</v>
      </c>
      <c r="N147" s="133"/>
    </row>
    <row r="148" spans="2:15" ht="19.149999999999999" customHeight="1" thickBot="1" x14ac:dyDescent="0.35">
      <c r="B148" s="195" t="s">
        <v>130</v>
      </c>
      <c r="C148" s="196"/>
      <c r="D148" s="196"/>
      <c r="E148" s="196"/>
      <c r="F148" s="196"/>
      <c r="G148" s="196"/>
      <c r="H148" s="196"/>
      <c r="I148" s="196"/>
      <c r="J148" s="196"/>
      <c r="K148" s="197"/>
      <c r="L148" s="2"/>
      <c r="M148" s="193">
        <f>M147+M135</f>
        <v>2694.7393190245143</v>
      </c>
      <c r="N148" s="194"/>
    </row>
    <row r="149" spans="2:15" ht="19.149999999999999" customHeight="1" thickBot="1" x14ac:dyDescent="0.35">
      <c r="B149" s="125" t="s">
        <v>169</v>
      </c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7"/>
    </row>
    <row r="150" spans="2:15" ht="19.149999999999999" customHeight="1" thickBot="1" x14ac:dyDescent="0.35">
      <c r="B150" s="67" t="s">
        <v>170</v>
      </c>
      <c r="C150" s="68"/>
      <c r="D150" s="68"/>
      <c r="E150" s="68"/>
      <c r="F150" s="69"/>
      <c r="H150" s="67" t="s">
        <v>171</v>
      </c>
      <c r="I150" s="68"/>
      <c r="J150" s="68"/>
      <c r="K150" s="69"/>
      <c r="M150" s="67" t="s">
        <v>60</v>
      </c>
      <c r="N150" s="69"/>
    </row>
    <row r="151" spans="2:15" ht="19.149999999999999" customHeight="1" x14ac:dyDescent="0.3">
      <c r="B151" s="53">
        <v>52</v>
      </c>
      <c r="C151" s="200"/>
      <c r="D151" s="200"/>
      <c r="E151" s="200"/>
      <c r="F151" s="54"/>
      <c r="H151" s="119">
        <v>220</v>
      </c>
      <c r="I151" s="200"/>
      <c r="J151" s="200"/>
      <c r="K151" s="54"/>
      <c r="M151" s="190">
        <f>B151*H151</f>
        <v>11440</v>
      </c>
      <c r="N151" s="131"/>
    </row>
    <row r="152" spans="2:15" ht="19.149999999999999" customHeight="1" thickBot="1" x14ac:dyDescent="0.35">
      <c r="B152" s="21" t="s">
        <v>154</v>
      </c>
      <c r="C152" s="17"/>
      <c r="D152" s="17"/>
      <c r="E152" s="17"/>
      <c r="F152" s="17"/>
      <c r="G152" s="17"/>
      <c r="H152" s="17"/>
      <c r="I152" s="17"/>
      <c r="J152" s="17"/>
      <c r="K152" s="22"/>
      <c r="L152" s="2"/>
      <c r="M152" s="198">
        <f>M151</f>
        <v>11440</v>
      </c>
      <c r="N152" s="199"/>
    </row>
    <row r="153" spans="2:15" ht="19.149999999999999" customHeight="1" thickBot="1" x14ac:dyDescent="0.35">
      <c r="B153" s="125" t="s">
        <v>124</v>
      </c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7"/>
    </row>
    <row r="154" spans="2:15" ht="19.149999999999999" customHeight="1" thickBot="1" x14ac:dyDescent="0.35">
      <c r="B154" s="67" t="s">
        <v>125</v>
      </c>
      <c r="C154" s="68"/>
      <c r="D154" s="68"/>
      <c r="E154" s="68"/>
      <c r="F154" s="69"/>
      <c r="H154" s="67" t="s">
        <v>126</v>
      </c>
      <c r="I154" s="68"/>
      <c r="J154" s="68"/>
      <c r="K154" s="69"/>
      <c r="M154" s="67" t="s">
        <v>60</v>
      </c>
      <c r="N154" s="69"/>
    </row>
    <row r="155" spans="2:15" ht="19.149999999999999" customHeight="1" x14ac:dyDescent="0.3">
      <c r="B155" s="57" t="str">
        <f>B76</f>
        <v>Total Geral Mão de Obra</v>
      </c>
      <c r="C155" s="58"/>
      <c r="D155" s="58"/>
      <c r="E155" s="58"/>
      <c r="F155" s="59"/>
      <c r="H155" s="255">
        <f>I76</f>
        <v>4597.6309662789354</v>
      </c>
      <c r="I155" s="256"/>
      <c r="J155" s="256"/>
      <c r="K155" s="150"/>
      <c r="M155" s="269">
        <f t="shared" ref="M155:M160" si="1">H155/H$163</f>
        <v>0.1704592306632928</v>
      </c>
      <c r="N155" s="270"/>
    </row>
    <row r="156" spans="2:15" ht="19.149999999999999" customHeight="1" x14ac:dyDescent="0.3">
      <c r="B156" s="48" t="str">
        <f>B88</f>
        <v>Total Despesas Indiretas</v>
      </c>
      <c r="C156" s="49"/>
      <c r="D156" s="49"/>
      <c r="E156" s="49"/>
      <c r="F156" s="50"/>
      <c r="H156" s="211">
        <f>M88</f>
        <v>1798.02</v>
      </c>
      <c r="I156" s="215"/>
      <c r="J156" s="215"/>
      <c r="K156" s="115"/>
      <c r="M156" s="213">
        <f t="shared" si="1"/>
        <v>6.6662398127457542E-2</v>
      </c>
      <c r="N156" s="214"/>
    </row>
    <row r="157" spans="2:15" ht="19.149999999999999" customHeight="1" x14ac:dyDescent="0.3">
      <c r="B157" s="48" t="str">
        <f>B110</f>
        <v>Total Uniformes e Equipamentos de Segurança</v>
      </c>
      <c r="C157" s="49"/>
      <c r="D157" s="49"/>
      <c r="E157" s="49"/>
      <c r="F157" s="50"/>
      <c r="H157" s="211">
        <f>M110</f>
        <v>303.41833333333329</v>
      </c>
      <c r="I157" s="215"/>
      <c r="J157" s="215"/>
      <c r="K157" s="115"/>
      <c r="M157" s="213">
        <f t="shared" si="1"/>
        <v>1.1249370827819649E-2</v>
      </c>
      <c r="N157" s="214"/>
      <c r="O157" s="32"/>
    </row>
    <row r="158" spans="2:15" ht="19.149999999999999" customHeight="1" x14ac:dyDescent="0.3">
      <c r="B158" s="48" t="str">
        <f>B122</f>
        <v>Total Manutenção Mensal da Frota</v>
      </c>
      <c r="C158" s="49"/>
      <c r="D158" s="49"/>
      <c r="E158" s="49"/>
      <c r="F158" s="50"/>
      <c r="H158" s="211">
        <f>M122</f>
        <v>1027.1307291666665</v>
      </c>
      <c r="I158" s="215"/>
      <c r="J158" s="215"/>
      <c r="K158" s="115"/>
      <c r="M158" s="213">
        <f t="shared" si="1"/>
        <v>3.8081332575084864E-2</v>
      </c>
      <c r="N158" s="214"/>
      <c r="O158" s="32"/>
    </row>
    <row r="159" spans="2:15" ht="19.149999999999999" customHeight="1" x14ac:dyDescent="0.3">
      <c r="B159" s="48" t="str">
        <f>B148</f>
        <v>Total do Custo Mensal da Frota</v>
      </c>
      <c r="C159" s="49"/>
      <c r="D159" s="49"/>
      <c r="E159" s="49"/>
      <c r="F159" s="50"/>
      <c r="H159" s="211">
        <f>M148</f>
        <v>2694.7393190245143</v>
      </c>
      <c r="I159" s="215"/>
      <c r="J159" s="215"/>
      <c r="K159" s="115"/>
      <c r="M159" s="213">
        <f t="shared" si="1"/>
        <v>9.9908669166375239E-2</v>
      </c>
      <c r="N159" s="214"/>
      <c r="O159" s="32"/>
    </row>
    <row r="160" spans="2:15" ht="19.149999999999999" customHeight="1" x14ac:dyDescent="0.3">
      <c r="B160" s="48" t="str">
        <f>B152</f>
        <v>Total do Custo Mensal de Destinação</v>
      </c>
      <c r="C160" s="49"/>
      <c r="D160" s="49"/>
      <c r="E160" s="49"/>
      <c r="F160" s="50"/>
      <c r="H160" s="211">
        <f>M152</f>
        <v>11440</v>
      </c>
      <c r="I160" s="146"/>
      <c r="J160" s="146"/>
      <c r="K160" s="212"/>
      <c r="M160" s="213">
        <f t="shared" si="1"/>
        <v>0.42414313221105121</v>
      </c>
      <c r="N160" s="214"/>
      <c r="O160" s="32"/>
    </row>
    <row r="161" spans="2:15" ht="19.149999999999999" customHeight="1" x14ac:dyDescent="0.3">
      <c r="B161" s="206" t="s">
        <v>131</v>
      </c>
      <c r="C161" s="207"/>
      <c r="D161" s="207"/>
      <c r="E161" s="207"/>
      <c r="F161" s="208"/>
      <c r="H161" s="209">
        <f>SUM(H155:K160)</f>
        <v>21860.939347803447</v>
      </c>
      <c r="I161" s="210"/>
      <c r="J161" s="210"/>
      <c r="K161" s="133"/>
      <c r="M161" s="204">
        <f>H161/H163</f>
        <v>0.8105041335710812</v>
      </c>
      <c r="N161" s="205"/>
      <c r="O161" s="32"/>
    </row>
    <row r="162" spans="2:15" ht="19.149999999999999" customHeight="1" x14ac:dyDescent="0.3">
      <c r="B162" s="48" t="s">
        <v>142</v>
      </c>
      <c r="C162" s="49"/>
      <c r="D162" s="50"/>
      <c r="F162" s="35">
        <f>F171</f>
        <v>0.23380000000000001</v>
      </c>
      <c r="H162" s="211">
        <f>H161*F162</f>
        <v>5111.0876195164465</v>
      </c>
      <c r="I162" s="215"/>
      <c r="J162" s="215"/>
      <c r="K162" s="115"/>
      <c r="M162" s="213">
        <f>(H162)/H163</f>
        <v>0.1894958664289188</v>
      </c>
      <c r="N162" s="214"/>
      <c r="O162" s="32"/>
    </row>
    <row r="163" spans="2:15" ht="19.149999999999999" customHeight="1" thickBot="1" x14ac:dyDescent="0.35">
      <c r="B163" s="60" t="s">
        <v>59</v>
      </c>
      <c r="C163" s="61"/>
      <c r="D163" s="61"/>
      <c r="E163" s="61"/>
      <c r="F163" s="62"/>
      <c r="H163" s="264">
        <f>H161+H162</f>
        <v>26972.026967319893</v>
      </c>
      <c r="I163" s="265"/>
      <c r="J163" s="265"/>
      <c r="K163" s="266"/>
      <c r="M163" s="260">
        <f>M161+M162</f>
        <v>1</v>
      </c>
      <c r="N163" s="261"/>
      <c r="O163" s="32"/>
    </row>
    <row r="164" spans="2:15" ht="19.149999999999999" customHeight="1" thickBot="1" x14ac:dyDescent="0.35">
      <c r="B164" s="67" t="s">
        <v>132</v>
      </c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9"/>
      <c r="O164" s="32"/>
    </row>
    <row r="165" spans="2:15" ht="19.149999999999999" customHeight="1" x14ac:dyDescent="0.3">
      <c r="B165" s="201" t="s">
        <v>133</v>
      </c>
      <c r="C165" s="202"/>
      <c r="D165" s="203"/>
      <c r="E165" s="15"/>
      <c r="F165" s="267">
        <v>0</v>
      </c>
      <c r="G165" s="268"/>
      <c r="H165" s="31"/>
      <c r="I165" s="201" t="s">
        <v>134</v>
      </c>
      <c r="J165" s="202"/>
      <c r="K165" s="203"/>
      <c r="L165" s="16"/>
      <c r="M165" s="262">
        <v>6.4999999999999997E-3</v>
      </c>
      <c r="N165" s="263"/>
      <c r="O165" s="32"/>
    </row>
    <row r="166" spans="2:15" ht="19.149999999999999" customHeight="1" x14ac:dyDescent="0.3">
      <c r="B166" s="88" t="s">
        <v>135</v>
      </c>
      <c r="C166" s="89"/>
      <c r="D166" s="90"/>
      <c r="E166" s="15"/>
      <c r="F166" s="91">
        <v>0.03</v>
      </c>
      <c r="G166" s="249"/>
      <c r="H166" s="15"/>
      <c r="I166" s="88" t="s">
        <v>136</v>
      </c>
      <c r="J166" s="89"/>
      <c r="K166" s="90"/>
      <c r="L166" s="16"/>
      <c r="M166" s="250">
        <v>0.03</v>
      </c>
      <c r="N166" s="251"/>
    </row>
    <row r="167" spans="2:15" ht="19.149999999999999" customHeight="1" x14ac:dyDescent="0.3">
      <c r="B167" s="88" t="s">
        <v>137</v>
      </c>
      <c r="C167" s="89"/>
      <c r="D167" s="90"/>
      <c r="E167" s="15"/>
      <c r="F167" s="91">
        <v>0</v>
      </c>
      <c r="G167" s="92"/>
      <c r="H167" s="15"/>
      <c r="I167" s="252" t="s">
        <v>149</v>
      </c>
      <c r="J167" s="89"/>
      <c r="K167" s="90"/>
      <c r="L167" s="16"/>
      <c r="M167" s="253">
        <f>F165+M165+F166+M166+F167</f>
        <v>6.6500000000000004E-2</v>
      </c>
      <c r="N167" s="254"/>
    </row>
    <row r="168" spans="2:15" ht="19.149999999999999" customHeight="1" x14ac:dyDescent="0.3">
      <c r="B168" s="88" t="s">
        <v>143</v>
      </c>
      <c r="C168" s="89"/>
      <c r="D168" s="90"/>
      <c r="E168" s="15"/>
      <c r="F168" s="91">
        <v>0</v>
      </c>
      <c r="G168" s="92"/>
      <c r="H168" s="15"/>
      <c r="I168" s="88" t="s">
        <v>144</v>
      </c>
      <c r="J168" s="89"/>
      <c r="K168" s="90"/>
      <c r="L168" s="16"/>
      <c r="M168" s="250">
        <v>0.01</v>
      </c>
      <c r="N168" s="259"/>
    </row>
    <row r="169" spans="2:15" ht="19.149999999999999" customHeight="1" x14ac:dyDescent="0.3">
      <c r="B169" s="88" t="s">
        <v>145</v>
      </c>
      <c r="C169" s="89"/>
      <c r="D169" s="90"/>
      <c r="E169" s="15"/>
      <c r="F169" s="257">
        <v>0.12</v>
      </c>
      <c r="G169" s="258"/>
      <c r="H169" s="15"/>
      <c r="I169" s="88" t="s">
        <v>146</v>
      </c>
      <c r="J169" s="89"/>
      <c r="K169" s="90"/>
      <c r="L169" s="16"/>
      <c r="M169" s="250">
        <v>8.0000000000000004E-4</v>
      </c>
      <c r="N169" s="259"/>
    </row>
    <row r="170" spans="2:15" ht="19.149999999999999" customHeight="1" x14ac:dyDescent="0.3">
      <c r="B170" s="88" t="s">
        <v>147</v>
      </c>
      <c r="C170" s="89"/>
      <c r="D170" s="90"/>
      <c r="E170" s="15"/>
      <c r="F170" s="91">
        <v>0.13250000000000001</v>
      </c>
      <c r="G170" s="92"/>
      <c r="H170" s="15"/>
      <c r="I170" s="88" t="s">
        <v>167</v>
      </c>
      <c r="J170" s="89"/>
      <c r="K170" s="90"/>
      <c r="L170" s="16"/>
      <c r="M170" s="93">
        <v>13</v>
      </c>
      <c r="N170" s="94"/>
    </row>
    <row r="171" spans="2:15" ht="19.149999999999999" customHeight="1" thickBot="1" x14ac:dyDescent="0.35">
      <c r="B171" s="95" t="s">
        <v>148</v>
      </c>
      <c r="C171" s="96"/>
      <c r="D171" s="96"/>
      <c r="E171" s="29"/>
      <c r="F171" s="97">
        <f>F166+F169+M165+M167+M168+M169</f>
        <v>0.23380000000000001</v>
      </c>
      <c r="G171" s="98"/>
      <c r="I171" s="99"/>
      <c r="J171" s="99"/>
      <c r="K171" s="99"/>
      <c r="L171" s="2"/>
      <c r="M171" s="87"/>
      <c r="N171" s="87"/>
    </row>
    <row r="172" spans="2:15" x14ac:dyDescent="0.3">
      <c r="B172" s="23"/>
      <c r="C172" s="24"/>
      <c r="D172" s="24"/>
      <c r="E172" s="24"/>
      <c r="F172" s="24"/>
      <c r="G172" s="24"/>
      <c r="H172" s="24"/>
      <c r="I172" s="25"/>
      <c r="K172" s="23"/>
      <c r="L172" s="24"/>
      <c r="M172" s="24"/>
      <c r="N172" s="25"/>
    </row>
    <row r="173" spans="2:15" ht="15.75" customHeight="1" x14ac:dyDescent="0.3">
      <c r="B173" s="241" t="s">
        <v>138</v>
      </c>
      <c r="C173" s="242"/>
      <c r="D173" s="242"/>
      <c r="E173" s="242"/>
      <c r="F173" s="242"/>
      <c r="G173" s="242"/>
      <c r="H173" s="242"/>
      <c r="I173" s="243"/>
      <c r="J173" s="12"/>
      <c r="K173" s="244">
        <f>H163</f>
        <v>26972.026967319893</v>
      </c>
      <c r="L173" s="245"/>
      <c r="M173" s="245"/>
      <c r="N173" s="246"/>
    </row>
    <row r="174" spans="2:15" ht="15.75" thickBot="1" x14ac:dyDescent="0.35">
      <c r="B174" s="26"/>
      <c r="C174" s="27"/>
      <c r="D174" s="27"/>
      <c r="E174" s="27"/>
      <c r="F174" s="27"/>
      <c r="G174" s="27"/>
      <c r="H174" s="27"/>
      <c r="I174" s="28"/>
      <c r="K174" s="26"/>
      <c r="L174" s="27"/>
      <c r="M174" s="27"/>
      <c r="N174" s="28"/>
    </row>
    <row r="175" spans="2:15" x14ac:dyDescent="0.3">
      <c r="B175" s="23"/>
      <c r="C175" s="24"/>
      <c r="D175" s="24"/>
      <c r="E175" s="24"/>
      <c r="F175" s="24"/>
      <c r="G175" s="24"/>
      <c r="H175" s="24"/>
      <c r="I175" s="25"/>
      <c r="K175" s="23"/>
      <c r="L175" s="24"/>
      <c r="M175" s="24"/>
      <c r="N175" s="25"/>
    </row>
    <row r="176" spans="2:15" x14ac:dyDescent="0.3">
      <c r="B176" s="241" t="s">
        <v>139</v>
      </c>
      <c r="C176" s="242"/>
      <c r="D176" s="242"/>
      <c r="E176" s="242"/>
      <c r="F176" s="242"/>
      <c r="G176" s="242"/>
      <c r="H176" s="242"/>
      <c r="I176" s="243"/>
      <c r="J176" s="12"/>
      <c r="K176" s="244">
        <f>K173*12</f>
        <v>323664.32360783871</v>
      </c>
      <c r="L176" s="245"/>
      <c r="M176" s="245"/>
      <c r="N176" s="246"/>
    </row>
    <row r="177" spans="2:14" ht="15.75" thickBot="1" x14ac:dyDescent="0.35">
      <c r="B177" s="26"/>
      <c r="C177" s="27"/>
      <c r="D177" s="27"/>
      <c r="E177" s="27"/>
      <c r="F177" s="27"/>
      <c r="G177" s="27"/>
      <c r="H177" s="27"/>
      <c r="I177" s="28"/>
      <c r="K177" s="26"/>
      <c r="L177" s="27"/>
      <c r="M177" s="27"/>
      <c r="N177" s="28"/>
    </row>
  </sheetData>
  <mergeCells count="489">
    <mergeCell ref="B155:F155"/>
    <mergeCell ref="H155:K155"/>
    <mergeCell ref="B169:D169"/>
    <mergeCell ref="F169:G169"/>
    <mergeCell ref="I169:K169"/>
    <mergeCell ref="M169:N169"/>
    <mergeCell ref="M168:N168"/>
    <mergeCell ref="M162:N162"/>
    <mergeCell ref="M163:N163"/>
    <mergeCell ref="H162:K162"/>
    <mergeCell ref="B162:D162"/>
    <mergeCell ref="M165:N165"/>
    <mergeCell ref="B163:F163"/>
    <mergeCell ref="H163:K163"/>
    <mergeCell ref="B164:N164"/>
    <mergeCell ref="B165:D165"/>
    <mergeCell ref="F165:G165"/>
    <mergeCell ref="M155:N155"/>
    <mergeCell ref="B176:I176"/>
    <mergeCell ref="K176:N176"/>
    <mergeCell ref="K173:N173"/>
    <mergeCell ref="B173:I173"/>
    <mergeCell ref="F87:G87"/>
    <mergeCell ref="I87:K87"/>
    <mergeCell ref="M87:N87"/>
    <mergeCell ref="B89:N89"/>
    <mergeCell ref="B98:D98"/>
    <mergeCell ref="M97:N97"/>
    <mergeCell ref="B166:D166"/>
    <mergeCell ref="F166:G166"/>
    <mergeCell ref="I166:K166"/>
    <mergeCell ref="M166:N166"/>
    <mergeCell ref="B153:N153"/>
    <mergeCell ref="B97:D97"/>
    <mergeCell ref="M96:N96"/>
    <mergeCell ref="I167:K167"/>
    <mergeCell ref="M167:N167"/>
    <mergeCell ref="B167:D167"/>
    <mergeCell ref="F167:G167"/>
    <mergeCell ref="B168:D168"/>
    <mergeCell ref="F168:G168"/>
    <mergeCell ref="I168:K168"/>
    <mergeCell ref="B103:D103"/>
    <mergeCell ref="F103:H103"/>
    <mergeCell ref="M90:N90"/>
    <mergeCell ref="M92:N92"/>
    <mergeCell ref="M93:N93"/>
    <mergeCell ref="J91:K91"/>
    <mergeCell ref="J92:K92"/>
    <mergeCell ref="M99:N99"/>
    <mergeCell ref="B96:D96"/>
    <mergeCell ref="M95:N95"/>
    <mergeCell ref="B95:D95"/>
    <mergeCell ref="B94:D94"/>
    <mergeCell ref="F98:H98"/>
    <mergeCell ref="J94:K94"/>
    <mergeCell ref="J97:K97"/>
    <mergeCell ref="J98:K98"/>
    <mergeCell ref="F94:H94"/>
    <mergeCell ref="F95:H95"/>
    <mergeCell ref="F96:H96"/>
    <mergeCell ref="F97:H97"/>
    <mergeCell ref="H99:K99"/>
    <mergeCell ref="M98:N98"/>
    <mergeCell ref="M102:N102"/>
    <mergeCell ref="M101:N101"/>
    <mergeCell ref="F64:G64"/>
    <mergeCell ref="I86:K86"/>
    <mergeCell ref="M86:N86"/>
    <mergeCell ref="B93:D93"/>
    <mergeCell ref="J93:K93"/>
    <mergeCell ref="B92:D92"/>
    <mergeCell ref="F92:H92"/>
    <mergeCell ref="B91:D91"/>
    <mergeCell ref="F91:H91"/>
    <mergeCell ref="M91:N91"/>
    <mergeCell ref="M88:N88"/>
    <mergeCell ref="F93:H93"/>
    <mergeCell ref="J90:K90"/>
    <mergeCell ref="B90:H90"/>
    <mergeCell ref="B73:G73"/>
    <mergeCell ref="I73:K73"/>
    <mergeCell ref="M73:N73"/>
    <mergeCell ref="M72:N72"/>
    <mergeCell ref="F67:G67"/>
    <mergeCell ref="M66:N66"/>
    <mergeCell ref="B66:D66"/>
    <mergeCell ref="H151:K151"/>
    <mergeCell ref="F14:G14"/>
    <mergeCell ref="I14:K14"/>
    <mergeCell ref="F66:G66"/>
    <mergeCell ref="I72:L72"/>
    <mergeCell ref="B78:D78"/>
    <mergeCell ref="F78:G78"/>
    <mergeCell ref="I80:K80"/>
    <mergeCell ref="M80:N80"/>
    <mergeCell ref="B80:D80"/>
    <mergeCell ref="F80:G80"/>
    <mergeCell ref="I79:K79"/>
    <mergeCell ref="M79:N79"/>
    <mergeCell ref="B79:D79"/>
    <mergeCell ref="F79:G79"/>
    <mergeCell ref="I78:K78"/>
    <mergeCell ref="M78:N78"/>
    <mergeCell ref="M69:N69"/>
    <mergeCell ref="B69:D69"/>
    <mergeCell ref="F69:G69"/>
    <mergeCell ref="B70:D70"/>
    <mergeCell ref="I64:K64"/>
    <mergeCell ref="M64:N64"/>
    <mergeCell ref="B64:D64"/>
    <mergeCell ref="B6:K6"/>
    <mergeCell ref="B5:K5"/>
    <mergeCell ref="M5:N5"/>
    <mergeCell ref="M6:N6"/>
    <mergeCell ref="B16:N16"/>
    <mergeCell ref="M11:N11"/>
    <mergeCell ref="M12:N12"/>
    <mergeCell ref="M13:N13"/>
    <mergeCell ref="M14:N14"/>
    <mergeCell ref="M15:N15"/>
    <mergeCell ref="B15:K15"/>
    <mergeCell ref="I11:K11"/>
    <mergeCell ref="B10:N10"/>
    <mergeCell ref="I12:K12"/>
    <mergeCell ref="B11:D11"/>
    <mergeCell ref="F11:G11"/>
    <mergeCell ref="M7:N7"/>
    <mergeCell ref="M8:N8"/>
    <mergeCell ref="B12:D12"/>
    <mergeCell ref="F12:G12"/>
    <mergeCell ref="B9:N9"/>
    <mergeCell ref="B14:D14"/>
    <mergeCell ref="B13:D13"/>
    <mergeCell ref="F13:G13"/>
    <mergeCell ref="B3:N3"/>
    <mergeCell ref="B4:K4"/>
    <mergeCell ref="M4:N4"/>
    <mergeCell ref="I165:K165"/>
    <mergeCell ref="M161:N161"/>
    <mergeCell ref="B161:F161"/>
    <mergeCell ref="H161:K161"/>
    <mergeCell ref="B160:F160"/>
    <mergeCell ref="H160:K160"/>
    <mergeCell ref="M160:N160"/>
    <mergeCell ref="M159:N159"/>
    <mergeCell ref="B159:F159"/>
    <mergeCell ref="H159:K159"/>
    <mergeCell ref="M158:N158"/>
    <mergeCell ref="B158:F158"/>
    <mergeCell ref="H158:K158"/>
    <mergeCell ref="M157:N157"/>
    <mergeCell ref="B157:F157"/>
    <mergeCell ref="H157:K157"/>
    <mergeCell ref="M156:N156"/>
    <mergeCell ref="B156:F156"/>
    <mergeCell ref="H156:K156"/>
    <mergeCell ref="M144:N144"/>
    <mergeCell ref="M154:N154"/>
    <mergeCell ref="B144:K144"/>
    <mergeCell ref="M143:N143"/>
    <mergeCell ref="B143:K143"/>
    <mergeCell ref="M142:N142"/>
    <mergeCell ref="B142:K142"/>
    <mergeCell ref="M141:N141"/>
    <mergeCell ref="B141:K141"/>
    <mergeCell ref="B154:F154"/>
    <mergeCell ref="H154:K154"/>
    <mergeCell ref="M148:N148"/>
    <mergeCell ref="B148:K148"/>
    <mergeCell ref="I147:K147"/>
    <mergeCell ref="M147:N147"/>
    <mergeCell ref="M146:N146"/>
    <mergeCell ref="B146:K146"/>
    <mergeCell ref="M145:N145"/>
    <mergeCell ref="B145:K145"/>
    <mergeCell ref="M152:N152"/>
    <mergeCell ref="B149:N149"/>
    <mergeCell ref="B150:F150"/>
    <mergeCell ref="H150:K150"/>
    <mergeCell ref="M150:N150"/>
    <mergeCell ref="B151:F151"/>
    <mergeCell ref="M151:N151"/>
    <mergeCell ref="M135:N135"/>
    <mergeCell ref="M134:N134"/>
    <mergeCell ref="I135:K135"/>
    <mergeCell ref="B134:K134"/>
    <mergeCell ref="M133:N133"/>
    <mergeCell ref="B133:K133"/>
    <mergeCell ref="M132:N132"/>
    <mergeCell ref="B132:K132"/>
    <mergeCell ref="M140:N140"/>
    <mergeCell ref="B140:K140"/>
    <mergeCell ref="M139:N139"/>
    <mergeCell ref="B139:K139"/>
    <mergeCell ref="M138:N138"/>
    <mergeCell ref="B138:K138"/>
    <mergeCell ref="M137:N137"/>
    <mergeCell ref="B137:I137"/>
    <mergeCell ref="M136:N136"/>
    <mergeCell ref="G136:K136"/>
    <mergeCell ref="B136:D136"/>
    <mergeCell ref="M131:N131"/>
    <mergeCell ref="B131:K131"/>
    <mergeCell ref="M130:N130"/>
    <mergeCell ref="B130:K130"/>
    <mergeCell ref="M129:N129"/>
    <mergeCell ref="B129:K129"/>
    <mergeCell ref="M128:N128"/>
    <mergeCell ref="B128:K128"/>
    <mergeCell ref="B125:I125"/>
    <mergeCell ref="M124:N124"/>
    <mergeCell ref="G124:K124"/>
    <mergeCell ref="M127:N127"/>
    <mergeCell ref="B127:K127"/>
    <mergeCell ref="M126:N126"/>
    <mergeCell ref="B126:K126"/>
    <mergeCell ref="B123:N123"/>
    <mergeCell ref="M125:N125"/>
    <mergeCell ref="M122:N122"/>
    <mergeCell ref="B122:K122"/>
    <mergeCell ref="B124:D124"/>
    <mergeCell ref="B121:G121"/>
    <mergeCell ref="M121:N121"/>
    <mergeCell ref="H121:K121"/>
    <mergeCell ref="M120:N120"/>
    <mergeCell ref="B120:D120"/>
    <mergeCell ref="E120:F120"/>
    <mergeCell ref="H120:I120"/>
    <mergeCell ref="M119:N119"/>
    <mergeCell ref="B119:D119"/>
    <mergeCell ref="E119:F119"/>
    <mergeCell ref="H119:I119"/>
    <mergeCell ref="M118:N118"/>
    <mergeCell ref="B118:D118"/>
    <mergeCell ref="E118:F118"/>
    <mergeCell ref="H118:I118"/>
    <mergeCell ref="M117:N117"/>
    <mergeCell ref="B117:D117"/>
    <mergeCell ref="E117:F117"/>
    <mergeCell ref="H117:I117"/>
    <mergeCell ref="M116:N116"/>
    <mergeCell ref="B116:D116"/>
    <mergeCell ref="E116:F116"/>
    <mergeCell ref="H116:I116"/>
    <mergeCell ref="M115:N115"/>
    <mergeCell ref="B115:D115"/>
    <mergeCell ref="E115:F115"/>
    <mergeCell ref="H115:I115"/>
    <mergeCell ref="M114:N114"/>
    <mergeCell ref="E114:F114"/>
    <mergeCell ref="B114:D114"/>
    <mergeCell ref="H114:I114"/>
    <mergeCell ref="M113:N113"/>
    <mergeCell ref="H113:I113"/>
    <mergeCell ref="E113:F113"/>
    <mergeCell ref="B113:D113"/>
    <mergeCell ref="M112:N112"/>
    <mergeCell ref="M110:N110"/>
    <mergeCell ref="M109:N109"/>
    <mergeCell ref="H109:K109"/>
    <mergeCell ref="M108:N108"/>
    <mergeCell ref="H108:K108"/>
    <mergeCell ref="M107:N107"/>
    <mergeCell ref="B107:D107"/>
    <mergeCell ref="F107:H107"/>
    <mergeCell ref="J107:K107"/>
    <mergeCell ref="B112:D112"/>
    <mergeCell ref="H112:L112"/>
    <mergeCell ref="B110:K110"/>
    <mergeCell ref="B111:N111"/>
    <mergeCell ref="M106:N106"/>
    <mergeCell ref="B106:D106"/>
    <mergeCell ref="F106:H106"/>
    <mergeCell ref="J106:K106"/>
    <mergeCell ref="M105:N105"/>
    <mergeCell ref="B105:D105"/>
    <mergeCell ref="F105:H105"/>
    <mergeCell ref="J105:K105"/>
    <mergeCell ref="M104:N104"/>
    <mergeCell ref="B104:D104"/>
    <mergeCell ref="F104:H104"/>
    <mergeCell ref="J104:K104"/>
    <mergeCell ref="J102:K102"/>
    <mergeCell ref="M65:N65"/>
    <mergeCell ref="I65:K65"/>
    <mergeCell ref="B82:D82"/>
    <mergeCell ref="F82:G82"/>
    <mergeCell ref="I82:K82"/>
    <mergeCell ref="I81:K81"/>
    <mergeCell ref="M81:N81"/>
    <mergeCell ref="B81:D81"/>
    <mergeCell ref="F81:G81"/>
    <mergeCell ref="M82:N82"/>
    <mergeCell ref="M76:N76"/>
    <mergeCell ref="B76:G76"/>
    <mergeCell ref="I76:K76"/>
    <mergeCell ref="M70:N70"/>
    <mergeCell ref="B72:D72"/>
    <mergeCell ref="F72:G72"/>
    <mergeCell ref="F70:G70"/>
    <mergeCell ref="M68:N68"/>
    <mergeCell ref="B68:D68"/>
    <mergeCell ref="F68:G68"/>
    <mergeCell ref="M67:N67"/>
    <mergeCell ref="B67:D67"/>
    <mergeCell ref="B77:N77"/>
    <mergeCell ref="H100:K100"/>
    <mergeCell ref="M100:N100"/>
    <mergeCell ref="M94:N94"/>
    <mergeCell ref="B75:G75"/>
    <mergeCell ref="I75:K75"/>
    <mergeCell ref="M75:N75"/>
    <mergeCell ref="B74:G74"/>
    <mergeCell ref="I74:K74"/>
    <mergeCell ref="M74:N74"/>
    <mergeCell ref="B86:D86"/>
    <mergeCell ref="F86:G86"/>
    <mergeCell ref="I85:K85"/>
    <mergeCell ref="M85:N85"/>
    <mergeCell ref="I63:K63"/>
    <mergeCell ref="M63:N63"/>
    <mergeCell ref="I62:K62"/>
    <mergeCell ref="M62:N62"/>
    <mergeCell ref="B62:D62"/>
    <mergeCell ref="F62:G62"/>
    <mergeCell ref="I61:K61"/>
    <mergeCell ref="M61:N61"/>
    <mergeCell ref="B61:D61"/>
    <mergeCell ref="F61:G61"/>
    <mergeCell ref="I60:K60"/>
    <mergeCell ref="M60:N60"/>
    <mergeCell ref="B60:D60"/>
    <mergeCell ref="F60:G60"/>
    <mergeCell ref="I59:K59"/>
    <mergeCell ref="M59:N59"/>
    <mergeCell ref="F59:G59"/>
    <mergeCell ref="I58:K58"/>
    <mergeCell ref="M58:N58"/>
    <mergeCell ref="B58:D58"/>
    <mergeCell ref="F58:G58"/>
    <mergeCell ref="I56:K56"/>
    <mergeCell ref="M49:N49"/>
    <mergeCell ref="B49:D49"/>
    <mergeCell ref="F49:G49"/>
    <mergeCell ref="M51:N51"/>
    <mergeCell ref="I57:K57"/>
    <mergeCell ref="M57:N57"/>
    <mergeCell ref="B56:G56"/>
    <mergeCell ref="M54:N54"/>
    <mergeCell ref="M53:N53"/>
    <mergeCell ref="F51:G51"/>
    <mergeCell ref="B53:D53"/>
    <mergeCell ref="B50:D50"/>
    <mergeCell ref="F50:G50"/>
    <mergeCell ref="B51:D51"/>
    <mergeCell ref="I54:L54"/>
    <mergeCell ref="B55:N55"/>
    <mergeCell ref="B52:D52"/>
    <mergeCell ref="B57:D57"/>
    <mergeCell ref="F57:G57"/>
    <mergeCell ref="M46:N46"/>
    <mergeCell ref="B46:D46"/>
    <mergeCell ref="F46:G46"/>
    <mergeCell ref="I45:K45"/>
    <mergeCell ref="M45:N45"/>
    <mergeCell ref="F54:G54"/>
    <mergeCell ref="I44:K44"/>
    <mergeCell ref="M44:N44"/>
    <mergeCell ref="F44:G44"/>
    <mergeCell ref="B44:D44"/>
    <mergeCell ref="M48:N48"/>
    <mergeCell ref="B48:D48"/>
    <mergeCell ref="F48:G48"/>
    <mergeCell ref="I47:K47"/>
    <mergeCell ref="M47:N47"/>
    <mergeCell ref="I46:K46"/>
    <mergeCell ref="F52:G52"/>
    <mergeCell ref="M52:N52"/>
    <mergeCell ref="B54:D54"/>
    <mergeCell ref="F53:G53"/>
    <mergeCell ref="M50:N50"/>
    <mergeCell ref="I43:K43"/>
    <mergeCell ref="M43:N43"/>
    <mergeCell ref="F43:G43"/>
    <mergeCell ref="B43:D43"/>
    <mergeCell ref="I42:K42"/>
    <mergeCell ref="M42:N42"/>
    <mergeCell ref="B42:D42"/>
    <mergeCell ref="I41:K41"/>
    <mergeCell ref="M41:N41"/>
    <mergeCell ref="F41:G41"/>
    <mergeCell ref="F42:G42"/>
    <mergeCell ref="B27:D27"/>
    <mergeCell ref="F27:G27"/>
    <mergeCell ref="B31:K31"/>
    <mergeCell ref="M31:N31"/>
    <mergeCell ref="M28:N28"/>
    <mergeCell ref="M29:N29"/>
    <mergeCell ref="I40:K40"/>
    <mergeCell ref="M40:N40"/>
    <mergeCell ref="B37:N37"/>
    <mergeCell ref="I39:K39"/>
    <mergeCell ref="M39:N39"/>
    <mergeCell ref="B39:D39"/>
    <mergeCell ref="F39:G39"/>
    <mergeCell ref="B40:D40"/>
    <mergeCell ref="F40:G40"/>
    <mergeCell ref="B38:G38"/>
    <mergeCell ref="I38:K38"/>
    <mergeCell ref="I29:K29"/>
    <mergeCell ref="M36:N36"/>
    <mergeCell ref="B32:N32"/>
    <mergeCell ref="B33:K33"/>
    <mergeCell ref="B34:K34"/>
    <mergeCell ref="B35:K35"/>
    <mergeCell ref="M35:N35"/>
    <mergeCell ref="M171:N171"/>
    <mergeCell ref="B170:D170"/>
    <mergeCell ref="F170:G170"/>
    <mergeCell ref="I170:K170"/>
    <mergeCell ref="M170:N170"/>
    <mergeCell ref="I71:K71"/>
    <mergeCell ref="B171:D171"/>
    <mergeCell ref="F171:G171"/>
    <mergeCell ref="I171:K171"/>
    <mergeCell ref="B84:D84"/>
    <mergeCell ref="F84:G84"/>
    <mergeCell ref="I84:K84"/>
    <mergeCell ref="M84:N84"/>
    <mergeCell ref="B87:D87"/>
    <mergeCell ref="B85:D85"/>
    <mergeCell ref="F85:G85"/>
    <mergeCell ref="B83:D83"/>
    <mergeCell ref="M71:N71"/>
    <mergeCell ref="B71:D71"/>
    <mergeCell ref="F71:G71"/>
    <mergeCell ref="J101:K101"/>
    <mergeCell ref="B101:H101"/>
    <mergeCell ref="B102:D102"/>
    <mergeCell ref="F102:H102"/>
    <mergeCell ref="B2:N2"/>
    <mergeCell ref="B1:N1"/>
    <mergeCell ref="M34:N34"/>
    <mergeCell ref="M33:N33"/>
    <mergeCell ref="I66:K66"/>
    <mergeCell ref="I67:K67"/>
    <mergeCell ref="I68:K68"/>
    <mergeCell ref="I69:K69"/>
    <mergeCell ref="I70:K70"/>
    <mergeCell ref="B28:D28"/>
    <mergeCell ref="F28:G28"/>
    <mergeCell ref="I28:K28"/>
    <mergeCell ref="B29:D29"/>
    <mergeCell ref="F29:G29"/>
    <mergeCell ref="B36:K36"/>
    <mergeCell ref="B7:K7"/>
    <mergeCell ref="B8:K8"/>
    <mergeCell ref="M17:N17"/>
    <mergeCell ref="M18:N18"/>
    <mergeCell ref="M19:N19"/>
    <mergeCell ref="M20:N20"/>
    <mergeCell ref="B21:K21"/>
    <mergeCell ref="M21:N21"/>
    <mergeCell ref="B17:K17"/>
    <mergeCell ref="I13:K13"/>
    <mergeCell ref="F83:G83"/>
    <mergeCell ref="I83:K83"/>
    <mergeCell ref="M83:N83"/>
    <mergeCell ref="M103:N103"/>
    <mergeCell ref="J103:K103"/>
    <mergeCell ref="J95:K95"/>
    <mergeCell ref="J96:K96"/>
    <mergeCell ref="B18:K18"/>
    <mergeCell ref="B19:K19"/>
    <mergeCell ref="B20:K20"/>
    <mergeCell ref="B22:K22"/>
    <mergeCell ref="M22:N22"/>
    <mergeCell ref="B23:K23"/>
    <mergeCell ref="M23:N23"/>
    <mergeCell ref="I27:K27"/>
    <mergeCell ref="B30:K30"/>
    <mergeCell ref="M30:N30"/>
    <mergeCell ref="B24:K24"/>
    <mergeCell ref="M24:N24"/>
    <mergeCell ref="B25:K25"/>
    <mergeCell ref="M25:N25"/>
    <mergeCell ref="M27:N27"/>
    <mergeCell ref="B26:N26"/>
  </mergeCells>
  <pageMargins left="0.82677165354330717" right="0.23622047244094491" top="0.94488188976377963" bottom="0.74803149606299213" header="0.31496062992125984" footer="0.31496062992125984"/>
  <pageSetup paperSize="9" scale="79" fitToHeight="0" orientation="portrait" r:id="rId1"/>
  <ignoredErrors>
    <ignoredError sqref="M1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2023-05-18T17:59:41Z</dcterms:modified>
</cp:coreProperties>
</file>